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TGxs7A2/ebKzhOYtzKaCRPQ1kzw3znuqQBGBbqNCFnlBMVLFvFZ0o30h50Sw3oz1SxYMjAZOEh/yoQfmbq7/Aw==" workbookSaltValue="1e+Cc0qWGUIfZVm5jFgYl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BG15" i="13"/>
  <c r="BE15" i="13"/>
  <c r="AX20" i="20"/>
  <c r="S19" i="8" l="1"/>
  <c r="AC19" i="8"/>
  <c r="AL16" i="11"/>
  <c r="C16" i="6"/>
  <c r="BE16" i="13"/>
  <c r="BF9" i="8"/>
  <c r="AB13" i="21"/>
  <c r="AB19" i="21" s="1"/>
  <c r="R8" i="9"/>
  <c r="T17" i="11" s="1"/>
  <c r="X16" i="17"/>
  <c r="X9" i="17"/>
  <c r="T17" i="20"/>
  <c r="U10" i="21"/>
  <c r="X16" i="20"/>
  <c r="X9" i="16"/>
  <c r="X19" i="16" s="1"/>
  <c r="S10" i="14"/>
  <c r="V10" i="14" s="1"/>
  <c r="R10" i="14"/>
  <c r="R16" i="14"/>
  <c r="S15" i="14"/>
  <c r="V15" i="14" s="1"/>
  <c r="AA16" i="16"/>
  <c r="X12" i="17"/>
  <c r="X15" i="17"/>
  <c r="AA11" i="16"/>
  <c r="X12" i="16"/>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M12" i="11"/>
  <c r="AM16" i="11"/>
  <c r="AO16" i="17"/>
  <c r="AO12" i="17"/>
  <c r="AQ13" i="21"/>
  <c r="V15" i="16"/>
  <c r="AA9" i="16"/>
  <c r="AA15" i="16"/>
  <c r="AA10" i="16"/>
  <c r="T15" i="11"/>
  <c r="S9" i="14"/>
  <c r="V9" i="14" s="1"/>
  <c r="R12" i="14"/>
  <c r="S17" i="14"/>
  <c r="V17" i="14" s="1"/>
  <c r="V15" i="20"/>
  <c r="V18" i="20" s="1"/>
  <c r="L11" i="2"/>
  <c r="AA12" i="21"/>
  <c r="X17" i="20"/>
  <c r="X13" i="20"/>
  <c r="X10" i="17"/>
  <c r="X12" i="21"/>
  <c r="T9" i="11"/>
  <c r="BF11" i="11"/>
  <c r="BH11" i="16"/>
  <c r="BL9" i="11"/>
  <c r="P9" i="11" s="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Q13" i="21" s="1"/>
  <c r="Q19" i="21" s="1"/>
  <c r="BJ11" i="11"/>
  <c r="BI17" i="11"/>
  <c r="BL11" i="11"/>
  <c r="BM15" i="11"/>
  <c r="T15" i="16"/>
  <c r="BW9" i="20"/>
  <c r="BV16" i="16"/>
  <c r="BV15" i="16"/>
  <c r="BU9" i="17"/>
  <c r="BU17" i="17"/>
  <c r="BU21" i="17" s="1"/>
  <c r="BU12" i="17"/>
  <c r="AZ16" i="11"/>
  <c r="X17" i="17"/>
  <c r="P15" i="17"/>
  <c r="P18" i="17" s="1"/>
  <c r="P19" i="17" s="1"/>
  <c r="BL15" i="11"/>
  <c r="BJ10" i="11"/>
  <c r="BH11" i="11"/>
  <c r="S17" i="17"/>
  <c r="BH12" i="16"/>
  <c r="L12" i="2"/>
  <c r="X15" i="16"/>
  <c r="X18" i="16" s="1"/>
  <c r="T12" i="11"/>
  <c r="R17" i="14"/>
  <c r="R18" i="14" s="1"/>
  <c r="S16" i="14"/>
  <c r="V16" i="14" s="1"/>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I19" i="11" l="1"/>
  <c r="G19" i="7"/>
  <c r="BF13" i="8"/>
  <c r="AL13" i="11"/>
  <c r="B13" i="6"/>
  <c r="BH13" i="11"/>
  <c r="Q19" i="20"/>
  <c r="R19" i="20"/>
  <c r="AO13" i="17"/>
  <c r="V19" i="20"/>
  <c r="Q15" i="11"/>
  <c r="BV18" i="16"/>
  <c r="T18" i="16"/>
  <c r="T19" i="16" s="1"/>
  <c r="BH18" i="11"/>
  <c r="BK18" i="11"/>
  <c r="BK19" i="11" s="1"/>
  <c r="P12" i="11"/>
  <c r="BV13" i="16"/>
  <c r="P16" i="11"/>
  <c r="X19" i="21"/>
  <c r="Q10" i="11"/>
  <c r="P17" i="11"/>
  <c r="BF18" i="11"/>
  <c r="BW21" i="20"/>
  <c r="Q16" i="11"/>
  <c r="S13" i="14"/>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O20" i="11"/>
  <c r="AB20" i="21"/>
  <c r="F20" i="16"/>
  <c r="AV20" i="11"/>
  <c r="K20" i="17"/>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AJ20" i="16"/>
  <c r="AS20" i="11"/>
  <c r="L20" i="17"/>
  <c r="S20" i="17"/>
  <c r="E20" i="17"/>
  <c r="P20" i="11"/>
  <c r="AB20" i="16"/>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<sst xmlns="http://schemas.openxmlformats.org/spreadsheetml/2006/main" count="2102" uniqueCount="918">
  <si>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</si>
  <si>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</si>
  <si>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</si>
  <si>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</si>
  <si>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</si>
  <si>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</si>
  <si>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</si>
  <si>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</si>
  <si>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</si>
  <si>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</si>
  <si>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</si>
  <si>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</si>
  <si>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</si>
  <si>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</si>
  <si>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</si>
  <si>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</si>
  <si>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</si>
  <si>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</si>
  <si>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</si>
  <si>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</si>
  <si>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</si>
  <si>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</si>
  <si>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</si>
  <si>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</si>
  <si>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</si>
  <si>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</si>
  <si>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</si>
  <si>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</si>
  <si>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</si>
  <si>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</si>
  <si>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</si>
  <si>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</si>
  <si>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</si>
  <si>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</si>
  <si>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</si>
  <si>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</si>
  <si>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</si>
  <si>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</si>
  <si>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</si>
  <si>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</si>
  <si>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</si>
  <si>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</si>
  <si>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</si>
  <si>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</si>
  <si>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</si>
  <si>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</si>
  <si>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</si>
  <si>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</si>
  <si>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</si>
  <si>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</si>
  <si>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</si>
  <si>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</si>
  <si>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</si>
  <si>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</si>
  <si>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</si>
  <si>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</si>
  <si>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</si>
  <si>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</si>
  <si>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</si>
  <si>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</si>
  <si>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</si>
  <si>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</si>
  <si>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</si>
  <si>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</si>
  <si>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</si>
  <si>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</si>
  <si>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</si>
  <si>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</si>
  <si>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</si>
  <si>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</si>
  <si>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</si>
  <si>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</si>
  <si>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</si>
  <si>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</si>
  <si>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</si>
  <si>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</si>
  <si>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</si>
  <si>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</si>
  <si>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</si>
  <si>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</si>
  <si>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</si>
  <si>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</si>
  <si>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</si>
  <si>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</si>
  <si>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</si>
  <si>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</si>
  <si>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</si>
  <si>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</si>
  <si>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</si>
  <si>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</si>
  <si>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</si>
  <si>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</si>
  <si>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</si>
  <si>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</si>
  <si>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</si>
  <si>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</si>
  <si>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</si>
  <si>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</si>
  <si>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</si>
  <si>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</si>
  <si>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</si>
  <si>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</si>
  <si>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</si>
  <si>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</si>
  <si>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</si>
  <si>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</si>
  <si>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</si>
  <si>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</si>
  <si>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</si>
  <si>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</si>
  <si>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</si>
  <si>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</si>
  <si>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</si>
  <si>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</si>
  <si>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</si>
  <si>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</si>
  <si>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</si>
  <si>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</si>
  <si>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</si>
  <si>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</si>
  <si>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</si>
  <si>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</si>
  <si>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</si>
  <si>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</si>
  <si>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</si>
  <si>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</si>
  <si>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</si>
  <si>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</si>
  <si>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</si>
  <si>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</si>
  <si>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</si>
  <si>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</si>
  <si>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</si>
  <si>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</si>
  <si>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</si>
  <si>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</si>
  <si>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</si>
  <si>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</si>
  <si>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</si>
  <si>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</si>
  <si>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</si>
  <si>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</si>
  <si>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</si>
  <si>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</si>
  <si>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</si>
  <si>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</si>
  <si>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</si>
  <si>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</si>
  <si>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</si>
  <si>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</si>
  <si>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</si>
  <si>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</si>
  <si>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</si>
  <si>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</si>
  <si>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</si>
  <si>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</si>
  <si>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</si>
  <si>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</si>
  <si>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</si>
  <si>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</si>
  <si>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</si>
  <si>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</si>
  <si>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</si>
  <si>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</si>
  <si>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</si>
  <si>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</si>
  <si>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</si>
  <si>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</si>
  <si>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</si>
  <si>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</si>
  <si>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</si>
  <si>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</si>
  <si>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</si>
  <si>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</si>
  <si>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</si>
  <si>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</si>
  <si>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</si>
  <si>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</si>
  <si>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</si>
  <si>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</si>
  <si>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</si>
  <si>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</si>
  <si>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</si>
  <si>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</si>
  <si>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</si>
  <si>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</si>
  <si>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</si>
  <si>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</si>
  <si>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</si>
  <si>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</si>
  <si>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</si>
  <si>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</si>
  <si>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</si>
  <si>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</si>
  <si>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</si>
  <si>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</si>
  <si>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</si>
  <si>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</si>
  <si>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</si>
  <si>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</si>
  <si>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</si>
  <si>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</si>
  <si>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</si>
  <si>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</si>
  <si>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</si>
  <si>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</si>
  <si>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</si>
  <si>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</si>
  <si>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</si>
  <si>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</si>
  <si>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</si>
  <si>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</si>
  <si>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</si>
  <si>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</si>
  <si>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</si>
  <si>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</si>
  <si>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</si>
  <si>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</si>
  <si>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</si>
  <si>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</si>
  <si>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</si>
  <si>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</si>
  <si>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</si>
  <si>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</si>
  <si>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</si>
  <si>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</si>
  <si>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</si>
  <si>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</si>
  <si>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</si>
  <si>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</si>
  <si>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</si>
  <si>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</si>
  <si>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</si>
  <si>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</si>
  <si>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</si>
  <si>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</si>
  <si>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</si>
  <si>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</si>
  <si>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</si>
  <si>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</si>
  <si>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</si>
  <si>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</si>
  <si>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</si>
  <si>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</si>
  <si>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</si>
  <si>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</si>
  <si>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</si>
  <si>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</si>
  <si>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</si>
  <si>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</si>
  <si>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</si>
  <si>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</si>
  <si>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</si>
  <si>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</si>
  <si>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</si>
  <si>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</si>
  <si>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</si>
  <si>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</si>
  <si>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</si>
  <si>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</si>
  <si>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</si>
  <si>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</si>
  <si>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</si>
  <si>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</si>
  <si>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</si>
  <si>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</si>
  <si>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</si>
  <si>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</si>
  <si>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</si>
  <si>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</si>
  <si>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</si>
  <si>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</si>
  <si>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</si>
  <si>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</si>
  <si>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</si>
  <si>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</si>
  <si>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</si>
  <si>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</si>
  <si>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</si>
  <si>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</si>
  <si>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</si>
  <si>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</si>
  <si>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</si>
  <si>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</si>
  <si>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</si>
  <si>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</si>
  <si>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</si>
  <si>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</si>
  <si>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</si>
  <si>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</si>
  <si>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</si>
  <si>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</si>
  <si>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</si>
  <si>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</si>
  <si>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</si>
  <si>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</si>
  <si>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</si>
  <si>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</si>
  <si>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</si>
  <si>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</si>
  <si>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</si>
  <si>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</si>
  <si>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</si>
  <si>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</si>
  <si>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</si>
  <si>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</si>
  <si>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</si>
  <si>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</si>
  <si>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</si>
  <si>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</si>
  <si>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</si>
  <si>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</si>
  <si>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</si>
  <si>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</si>
  <si>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</si>
  <si>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</si>
  <si>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</si>
  <si>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</si>
  <si>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</si>
  <si>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</si>
  <si>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</si>
  <si>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</si>
  <si>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</si>
  <si>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</si>
  <si>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</si>
  <si>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</si>
  <si>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</si>
  <si>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</si>
  <si>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</si>
  <si>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</si>
  <si>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</si>
  <si>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</si>
  <si>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</si>
  <si>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</si>
  <si>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</si>
  <si>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</si>
  <si>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</si>
  <si>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</si>
  <si>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</si>
  <si>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</si>
  <si>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</si>
  <si>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</si>
  <si>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</si>
  <si>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</si>
  <si>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</si>
  <si>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</si>
  <si>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</si>
  <si>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</si>
  <si>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</si>
  <si>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</si>
  <si>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</si>
  <si>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</si>
  <si>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</si>
  <si>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</si>
  <si>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</si>
  <si>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</si>
  <si>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</si>
  <si>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</si>
  <si>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</si>
  <si>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</si>
  <si>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</si>
  <si>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</si>
  <si>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</si>
  <si>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</si>
  <si>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</si>
  <si>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</si>
  <si>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</si>
  <si>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</si>
  <si>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</si>
  <si>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</si>
  <si>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</si>
  <si>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</si>
  <si>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</si>
  <si>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</si>
  <si>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</si>
  <si>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</si>
  <si>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</si>
  <si>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</si>
  <si>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</si>
  <si>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</si>
  <si>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</si>
  <si>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</si>
  <si>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</si>
  <si>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</si>
  <si>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</si>
  <si>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</si>
  <si>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</si>
  <si>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</si>
  <si>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</si>
  <si>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</si>
  <si>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</si>
  <si>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</si>
  <si>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</si>
  <si>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</si>
  <si>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</si>
  <si>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</si>
  <si>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</si>
  <si>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</si>
  <si>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</si>
  <si>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</si>
  <si>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</si>
  <si>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</si>
  <si>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</si>
  <si>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</si>
  <si>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</si>
  <si>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</si>
  <si>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</si>
  <si>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</si>
  <si>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</si>
  <si>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</si>
  <si>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</si>
  <si>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</si>
  <si>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</si>
  <si>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</si>
  <si>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</si>
  <si>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</si>
  <si>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</si>
  <si>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</si>
  <si>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</si>
  <si>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</si>
  <si>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</si>
  <si>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</si>
  <si>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</si>
  <si>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</si>
  <si>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</si>
  <si>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</si>
  <si>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</si>
  <si>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</si>
  <si>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</si>
  <si>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</si>
  <si>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</si>
  <si>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</si>
  <si>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</si>
  <si>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</si>
  <si>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</si>
  <si>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</si>
  <si>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</si>
  <si>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</si>
  <si>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</si>
  <si>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</si>
  <si>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</si>
  <si>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</si>
  <si>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</si>
  <si>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</si>
  <si>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</si>
  <si>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</si>
  <si>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</si>
  <si>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</si>
  <si>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</si>
  <si>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</si>
  <si>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</si>
  <si>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</si>
  <si>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</si>
  <si>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</si>
  <si>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</si>
  <si>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</si>
  <si>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</si>
  <si>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</si>
  <si>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</si>
  <si>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</si>
  <si>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</si>
  <si>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</si>
  <si>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</si>
  <si>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</si>
  <si>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</si>
  <si>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</si>
  <si>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</si>
  <si>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</si>
  <si>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</si>
  <si>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</si>
  <si>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</si>
  <si>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</si>
  <si>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</si>
  <si>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</si>
  <si>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</si>
  <si>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</si>
  <si>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</si>
  <si>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</si>
  <si>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</si>
  <si>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</si>
  <si>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</si>
  <si>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</si>
  <si>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</si>
  <si>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</si>
  <si>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</si>
  <si>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</si>
  <si>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</si>
  <si>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</si>
  <si>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</si>
  <si>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</si>
  <si>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</si>
  <si>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</si>
  <si>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</si>
  <si>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</si>
  <si>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</si>
  <si>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</si>
  <si>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</si>
  <si>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</si>
  <si>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</si>
  <si>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</si>
  <si>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</si>
  <si>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</si>
  <si>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</si>
  <si>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</si>
  <si>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</si>
  <si>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</si>
  <si>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</si>
  <si>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</si>
  <si>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</si>
  <si>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</si>
  <si>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</si>
  <si>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</si>
  <si>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</si>
  <si>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</si>
  <si>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</si>
  <si>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</si>
  <si>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</si>
  <si>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</si>
  <si>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</si>
  <si>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</si>
  <si>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</si>
  <si>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</si>
  <si>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</si>
  <si>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</si>
  <si>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</si>
  <si>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</si>
  <si>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</si>
  <si>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</si>
  <si>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</si>
  <si>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</si>
  <si>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</si>
  <si>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</si>
  <si>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</si>
  <si>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</si>
  <si>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</si>
  <si>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</si>
  <si>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</si>
  <si>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</si>
  <si>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</si>
  <si>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</si>
  <si>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</si>
  <si>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</si>
  <si>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</si>
  <si>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</si>
  <si>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</si>
  <si>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</si>
  <si>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</si>
  <si>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</si>
  <si>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</si>
  <si>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</si>
  <si>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</si>
  <si>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</si>
  <si>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</si>
  <si>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</si>
  <si>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</si>
  <si>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</si>
  <si>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</si>
  <si>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</si>
  <si>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</si>
  <si>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</si>
  <si>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</si>
  <si>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</si>
  <si>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</si>
  <si>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</si>
  <si>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</si>
  <si>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</si>
  <si>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</si>
  <si>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</si>
  <si>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</si>
  <si>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</si>
  <si>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</si>
  <si>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</si>
  <si>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</si>
  <si>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</si>
  <si>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</si>
  <si>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</si>
  <si>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</si>
  <si>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</si>
  <si>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</si>
  <si>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</si>
  <si>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</si>
  <si>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</si>
  <si>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</si>
  <si>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</si>
  <si>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</si>
  <si>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</si>
  <si>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</si>
  <si>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</si>
  <si>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</si>
  <si>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</si>
  <si>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</si>
  <si>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</si>
  <si>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</si>
  <si>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</si>
  <si>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</si>
  <si>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</si>
  <si>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</si>
  <si>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</si>
  <si>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</si>
  <si>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</si>
  <si>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</si>
  <si>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</si>
  <si>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</si>
  <si>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</si>
  <si>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</si>
  <si>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</si>
  <si>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</si>
  <si>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</si>
  <si>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</si>
  <si>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</si>
  <si>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</si>
  <si>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</si>
  <si>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</si>
  <si>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</si>
  <si>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</si>
  <si>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</si>
  <si>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</si>
  <si>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</si>
  <si>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</si>
  <si>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</si>
  <si>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</si>
  <si>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</si>
  <si>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</si>
  <si>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</si>
  <si>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</si>
  <si>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</si>
  <si>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</si>
  <si>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</si>
  <si>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</si>
  <si>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</si>
  <si>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</si>
  <si>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</si>
  <si>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</si>
  <si>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</si>
  <si>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</si>
  <si>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</si>
  <si>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</si>
  <si>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</si>
  <si>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</si>
  <si>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</si>
  <si>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</si>
  <si>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</si>
  <si>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</si>
  <si>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</si>
  <si>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</si>
  <si>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</si>
  <si>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</si>
  <si>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</si>
  <si>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</si>
  <si>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</si>
  <si>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</si>
  <si>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</si>
  <si>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</si>
  <si>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</si>
  <si>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</si>
  <si>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</si>
  <si>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</si>
  <si>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</si>
  <si>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</si>
  <si>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</si>
  <si>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</si>
  <si>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</si>
  <si>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</si>
  <si>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</si>
  <si>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</si>
  <si>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</si>
  <si>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</si>
  <si>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</si>
  <si>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</si>
  <si>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</si>
  <si>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</si>
  <si>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</si>
  <si>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</si>
  <si>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</si>
  <si>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</si>
  <si>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</si>
  <si>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</si>
  <si>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</si>
  <si>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</si>
  <si>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</si>
  <si>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</si>
  <si>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</si>
  <si>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</si>
  <si>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</si>
  <si>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</si>
  <si>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</si>
  <si>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</si>
  <si>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</si>
  <si>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</si>
  <si>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</si>
  <si>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</si>
  <si>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</si>
  <si>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</si>
  <si>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</si>
  <si>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</si>
  <si>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</si>
  <si>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</si>
  <si>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</si>
  <si>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</si>
  <si>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</si>
  <si>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</si>
  <si>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</si>
  <si>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</si>
  <si>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</si>
  <si>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</si>
  <si>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</si>
  <si>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</si>
  <si>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</si>
  <si>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</si>
  <si>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</si>
  <si>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</si>
  <si>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</si>
  <si>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</si>
  <si>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</si>
  <si>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</si>
  <si>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</si>
  <si>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</si>
  <si>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</si>
  <si>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</si>
  <si>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</si>
  <si>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</si>
  <si>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</si>
  <si>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</si>
  <si>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</si>
  <si>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</si>
  <si>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</si>
  <si>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</si>
  <si>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</si>
  <si>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</si>
  <si>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</si>
  <si>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</si>
  <si>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</si>
  <si>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</si>
  <si>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</si>
  <si>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</si>
  <si>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</si>
  <si>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</si>
  <si>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</si>
  <si>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</si>
  <si>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</si>
  <si>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</si>
  <si>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</si>
  <si>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</si>
  <si>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</si>
  <si>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</si>
  <si>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</si>
  <si>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</si>
  <si>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</si>
  <si>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</si>
  <si>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</si>
  <si>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</si>
  <si>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</si>
  <si>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</si>
  <si>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</si>
  <si>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</si>
  <si>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</si>
  <si>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</si>
  <si>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</si>
  <si>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</si>
  <si>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</si>
  <si>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</si>
  <si>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</si>
  <si>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</si>
  <si>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</si>
  <si>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</si>
  <si>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</si>
  <si>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</si>
  <si>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</si>
  <si>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</si>
  <si>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</si>
  <si>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</si>
  <si>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</si>
  <si>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</si>
  <si>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</si>
  <si>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</si>
  <si>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</si>
  <si>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</si>
  <si>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</si>
  <si>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</si>
  <si>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</si>
  <si>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</si>
  <si>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</si>
  <si>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</si>
  <si>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</si>
  <si>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</si>
  <si>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</si>
  <si>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</si>
  <si>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</si>
  <si>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</si>
  <si>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</si>
  <si>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</si>
  <si>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</si>
  <si>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</si>
  <si>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</si>
  <si>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</si>
  <si>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</si>
  <si>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</si>
  <si>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</si>
  <si>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</si>
  <si>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</si>
  <si>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</si>
  <si>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</si>
  <si>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</si>
  <si>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</si>
  <si>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</si>
  <si>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</si>
  <si>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</si>
  <si>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</si>
  <si>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</si>
  <si>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</si>
  <si>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</si>
  <si>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</si>
  <si>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</si>
  <si>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</si>
  <si>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</si>
  <si>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</si>
  <si>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</si>
  <si>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</si>
  <si>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</si>
  <si>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</si>
  <si>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</si>
  <si>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</si>
  <si>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</si>
  <si>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</si>
  <si>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</si>
  <si>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</si>
  <si>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</si>
  <si>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</si>
  <si>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</si>
  <si>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</si>
  <si>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</si>
  <si>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</si>
  <si>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</si>
  <si>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</si>
  <si>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</si>
  <si>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</si>
  <si>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</si>
  <si>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</si>
  <si>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</si>
  <si>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</si>
  <si>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</si>
  <si>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</si>
  <si>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</si>
  <si>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</si>
  <si>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</si>
  <si>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</si>
  <si>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</si>
  <si>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</si>
  <si>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</si>
  <si>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</si>
  <si>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</si>
  <si>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</si>
  <si>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</si>
  <si>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</si>
  <si>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</si>
  <si>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</si>
  <si>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</si>
  <si>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</si>
  <si>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</si>
  <si>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</si>
  <si>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</si>
  <si>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</si>
  <si>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</si>
  <si>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</si>
  <si>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</si>
  <si>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</si>
  <si>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</si>
  <si>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</si>
  <si>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</si>
  <si>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</si>
  <si>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</si>
  <si>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</si>
  <si>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</si>
  <si>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</si>
  <si>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</si>
  <si>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</si>
  <si>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</si>
  <si>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</si>
  <si>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</si>
  <si>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</si>
  <si>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</si>
  <si>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</si>
  <si>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</si>
  <si>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</si>
  <si>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</si>
  <si>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</si>
  <si>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</si>
  <si>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</si>
  <si>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</si>
  <si>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</si>
  <si>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</si>
  <si>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</si>
  <si>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</si>
  <si>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</si>
  <si>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</si>
  <si>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</si>
  <si>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</si>
  <si>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</si>
  <si>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</si>
  <si>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</si>
  <si>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</si>
  <si>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</si>
  <si>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</si>
  <si>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</si>
  <si>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</si>
  <si>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</si>
  <si>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</si>
  <si>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</si>
  <si>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</si>
  <si>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</si>
  <si>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</si>
  <si>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</si>
  <si>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</si>
  <si>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</si>
  <si>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</si>
  <si>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</si>
  <si>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</si>
  <si>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VELEZ-MALAGA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</si>
</sst>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auNxbhuEi9ZdSceWVpUmsxuF4KplS7ccQPpfwfLAKqtNODUQodzbuuyzwXTqOs2geiSw67J8TqFCgzpucNkrg==" saltValue="afL+OcBDpvLBwmbYZSly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VELEZ-MALAGA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16</v>
      </c>
      <c r="F10" s="404">
        <f>IF(ISNUMBER(E10/B10),E10/B10," - ")</f>
        <v>16</v>
      </c>
      <c r="G10" s="403">
        <f>IF(ISNUMBER(Datos!K10),Datos!K10," - ")</f>
        <v>17</v>
      </c>
      <c r="H10" s="404">
        <f>IF(ISNUMBER(G10/B10),G10/B10," - ")</f>
        <v>17</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3561</v>
      </c>
      <c r="D12" s="404">
        <f>IF(ISNUMBER(C12/Datos!BH12),C12/Datos!BH12," - ")</f>
        <v>712.2</v>
      </c>
      <c r="E12" s="403">
        <f>IF(ISNUMBER(IF(J_V="SI",Datos!J12,Datos!J12+Datos!Z12)),IF(J_V="SI",Datos!J12,Datos!J12+Datos!Z12)," - ")</f>
        <v>4749</v>
      </c>
      <c r="F12" s="404">
        <f>IF(ISNUMBER(E12/B12),E12/B12," - ")</f>
        <v>949.8</v>
      </c>
      <c r="G12" s="403">
        <f>IF(ISNUMBER(IF(J_V="SI",Datos!K12,Datos!K12+Datos!AA12)),IF(J_V="SI",Datos!K12,Datos!K12+Datos!AA12)," - ")</f>
        <v>3523</v>
      </c>
      <c r="H12" s="404">
        <f>IF(ISNUMBER(G12/B12),G12/B12," - ")</f>
        <v>704.6</v>
      </c>
      <c r="I12" s="403">
        <f>IF(ISNUMBER(IF(J_V="SI",Datos!L12,Datos!L12+Datos!AB12)),IF(J_V="SI",Datos!L12,Datos!L12+Datos!AB12)," - ")</f>
        <v>4787</v>
      </c>
      <c r="J12" s="404">
        <f>IF(ISNUMBER(I12/B12),I12/B12," - ")</f>
        <v>957.4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3568</v>
      </c>
      <c r="D13" s="850" t="str">
        <f>IF(ISNUMBER(C13/Datos!BI13),C13/Datos!BI13," - ")</f>
        <v xml:space="preserve"> - </v>
      </c>
      <c r="E13" s="849">
        <f>SUBTOTAL(9,E8:E12)</f>
        <v>4765</v>
      </c>
      <c r="F13" s="850">
        <f>IF(ISNUMBER(E13/B13),E13/B13," - ")</f>
        <v>953</v>
      </c>
      <c r="G13" s="849">
        <f>SUBTOTAL(9,G8:G12)</f>
        <v>3540</v>
      </c>
      <c r="H13" s="850">
        <f>IF(ISNUMBER(G13/B13),G13/B13," - ")</f>
        <v>708</v>
      </c>
      <c r="I13" s="849">
        <f>SUBTOTAL(9,I8:I12)</f>
        <v>4793</v>
      </c>
      <c r="J13" s="850">
        <f>IF(ISNUMBER(I13/B13),I13/B13," - ")</f>
        <v>958.6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2341</v>
      </c>
      <c r="D16" s="404">
        <f>IF(ISNUMBER(C16/Datos!BH16),C16/Datos!BH16," - ")</f>
        <v>468.2</v>
      </c>
      <c r="E16" s="403">
        <f>IF(ISNUMBER(IF(D_I="SI",Datos!J16,Datos!J16+Datos!AD16)),IF(D_I="SI",Datos!J16,Datos!J16+Datos!AD16)," - ")</f>
        <v>7989</v>
      </c>
      <c r="F16" s="404">
        <f>IF(ISNUMBER(E16/B16),E16/B16," - ")</f>
        <v>1597.8</v>
      </c>
      <c r="G16" s="403">
        <f>IF(ISNUMBER(IF(D_I="SI",Datos!K16,Datos!K16+Datos!AE16)),IF(D_I="SI",Datos!K16,Datos!K16+Datos!AE16)," - ")</f>
        <v>7955</v>
      </c>
      <c r="H16" s="404">
        <f>IF(ISNUMBER(G16/B16),G16/B16," - ")</f>
        <v>1591</v>
      </c>
      <c r="I16" s="403">
        <f>IF(ISNUMBER(IF(D_I="SI",Datos!L16,Datos!L16+Datos!AF16)),IF(D_I="SI",Datos!L16,Datos!L16+Datos!AF16)," - ")</f>
        <v>2197</v>
      </c>
      <c r="J16" s="404">
        <f>IF(ISNUMBER(I16/B16),I16/B16," - ")</f>
        <v>439.4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460</v>
      </c>
      <c r="F17" s="404">
        <f>IF(ISNUMBER(E17/B17),E17/B17," - ")</f>
        <v>460</v>
      </c>
      <c r="G17" s="403">
        <f>IF(ISNUMBER(IF(D_I="SI",Datos!K17,Datos!K17+Datos!AE17)),IF(D_I="SI",Datos!K17,Datos!K17+Datos!AE17)," - ")</f>
        <v>457</v>
      </c>
      <c r="H17" s="404">
        <f>IF(ISNUMBER(G17/B17),G17/B17," - ")</f>
        <v>457</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2409</v>
      </c>
      <c r="D18" s="850" t="str">
        <f>IF(ISNUMBER(C18/Datos!BI18),C18/Datos!BI18," - ")</f>
        <v xml:space="preserve"> - </v>
      </c>
      <c r="E18" s="849">
        <f>SUBTOTAL(9,E14:E17)</f>
        <v>8449</v>
      </c>
      <c r="F18" s="850">
        <f>IF(ISNUMBER(E18/B18),E18/B18," - ")</f>
        <v>1689.8</v>
      </c>
      <c r="G18" s="849">
        <f>SUBTOTAL(9,G14:G17)</f>
        <v>8412</v>
      </c>
      <c r="H18" s="850">
        <f>IF(ISNUMBER(G18/B18),G18/B18," - ")</f>
        <v>1682.4</v>
      </c>
      <c r="I18" s="849">
        <f>SUBTOTAL(9,I14:I17)</f>
        <v>2268</v>
      </c>
      <c r="J18" s="850">
        <f>IF(ISNUMBER(I18/B18),I18/B18," - ")</f>
        <v>453.6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5977</v>
      </c>
      <c r="D19" s="795" t="str">
        <f>IF(ISNUMBER(C19/Datos!BI19),C19/Datos!BI19," - ")</f>
        <v xml:space="preserve"> - </v>
      </c>
      <c r="E19" s="794">
        <f>SUBTOTAL(9,E9:E18)</f>
        <v>13214</v>
      </c>
      <c r="F19" s="795">
        <f>IF(ISNUMBER(E19/B19),E19/B19," - ")</f>
        <v>2642.8</v>
      </c>
      <c r="G19" s="794">
        <f>SUBTOTAL(9,G9:G18)</f>
        <v>11952</v>
      </c>
      <c r="H19" s="795">
        <f>IF(ISNUMBER(G19/B19),G19/B19," - ")</f>
        <v>2390.4</v>
      </c>
      <c r="I19" s="794">
        <f>SUBTOTAL(9,I9:I18)</f>
        <v>7061</v>
      </c>
      <c r="J19" s="795">
        <f>IF(ISNUMBER(I19/B19),I19/B19," - ")</f>
        <v>1412.2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3pfZRUM4hki516uAAJ7ni23Rfpt1bwb7vaFR0Sqvl5dic2HGR8CCOEj5AStvHs97SyuufTs9TEDpIGays34rw==" saltValue="4a359jOSR1ptQtr8pKqD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VELEZ-MALAGA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d2bllKFBXB41vKpLl8B+0Wq1haHO2UHq//Av0vAEZ3fwRMF6GqN8Rh4OM0+5v/b+GAwaeiWkAu2saKWWTnCqw==" saltValue="egGwQgTEw0xlWmXFsqbv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VELEZ-MALAGA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1161</v>
      </c>
      <c r="E12" s="404">
        <f t="shared" si="0"/>
        <v>232.2</v>
      </c>
      <c r="F12" s="403">
        <f>IF(ISNUMBER(Datos!N12),Datos!N12," - ")</f>
        <v>1174</v>
      </c>
      <c r="G12" s="404">
        <f t="shared" si="1"/>
        <v>234.8</v>
      </c>
      <c r="H12" s="403">
        <f>IF(ISNUMBER(Datos!O12),Datos!O12," - ")</f>
        <v>1413</v>
      </c>
      <c r="I12" s="404">
        <f t="shared" si="2"/>
        <v>282.60000000000002</v>
      </c>
      <c r="BZ12" s="1186">
        <f>Datos!EZ12</f>
        <v>0</v>
      </c>
    </row>
    <row r="13" spans="1:78" ht="14.25" thickTop="1" thickBot="1">
      <c r="A13" s="848" t="str">
        <f>Datos!A13</f>
        <v>TOTAL</v>
      </c>
      <c r="B13" s="849">
        <f>Datos!AP13</f>
        <v>5</v>
      </c>
      <c r="C13" s="851">
        <f>Datos!AR13</f>
        <v>5</v>
      </c>
      <c r="D13" s="849">
        <f>SUBTOTAL(9,D9:D12)</f>
        <v>1176</v>
      </c>
      <c r="E13" s="850">
        <f t="shared" si="0"/>
        <v>235.2</v>
      </c>
      <c r="F13" s="849">
        <f>SUBTOTAL(9,F9:F12)</f>
        <v>1175</v>
      </c>
      <c r="G13" s="850">
        <f t="shared" si="1"/>
        <v>235</v>
      </c>
      <c r="H13" s="849">
        <f>SUBTOTAL(9,H9:H12)</f>
        <v>1413</v>
      </c>
      <c r="I13" s="850">
        <f>IF(ISNUMBER(H13/B13),H13/B13," - ")</f>
        <v>282.60000000000002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655</v>
      </c>
      <c r="E16" s="404">
        <f t="shared" si="3"/>
        <v>131</v>
      </c>
      <c r="F16" s="403">
        <f>IF(ISNUMBER(Datos!N16),Datos!N16," - ")</f>
        <v>6169</v>
      </c>
      <c r="G16" s="404">
        <f t="shared" si="4"/>
        <v>1233.8</v>
      </c>
      <c r="H16" s="403">
        <f>IF(ISNUMBER(Datos!O16),Datos!O16," - ")</f>
        <v>48</v>
      </c>
      <c r="I16" s="404">
        <f t="shared" si="5"/>
        <v>9.6</v>
      </c>
      <c r="BZ16" s="1186">
        <f>Datos!EZ16</f>
        <v>0</v>
      </c>
    </row>
    <row r="17" spans="1:78" ht="13.5" thickBot="1">
      <c r="A17" s="402" t="str">
        <f>Datos!A17</f>
        <v>Jdos. Violencia contra la mujer</v>
      </c>
      <c r="B17" s="427">
        <f>Datos!AO17</f>
        <v>1</v>
      </c>
      <c r="C17" s="428">
        <f>Datos!AQ17</f>
        <v>0</v>
      </c>
      <c r="D17" s="403">
        <f>IF(ISNUMBER(Datos!M17),Datos!M17," - ")</f>
        <v>103</v>
      </c>
      <c r="E17" s="404">
        <f>IF(ISNUMBER(D17/B17),D17/B17," - ")</f>
        <v>103</v>
      </c>
      <c r="F17" s="403">
        <f>IF(ISNUMBER(Datos!N17),Datos!N17," - ")</f>
        <v>330</v>
      </c>
      <c r="G17" s="404">
        <f>IF(ISNUMBER(F17/B17),F17/B17," - ")</f>
        <v>330</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758</v>
      </c>
      <c r="E18" s="850">
        <f t="shared" si="3"/>
        <v>151.6</v>
      </c>
      <c r="F18" s="849">
        <f>SUBTOTAL(9,F15:F17)</f>
        <v>6499</v>
      </c>
      <c r="G18" s="850">
        <f t="shared" si="4"/>
        <v>1299.8</v>
      </c>
      <c r="H18" s="849">
        <f>SUBTOTAL(9,H15:H17)</f>
        <v>50</v>
      </c>
      <c r="I18" s="850">
        <f>IF(ISNUMBER(H18/B18),H18/B18," - ")</f>
        <v>10</v>
      </c>
      <c r="BZ18" s="1186"/>
    </row>
    <row r="19" spans="1:78" ht="14.25" thickTop="1" thickBot="1">
      <c r="A19" s="793" t="str">
        <f>Datos!A19</f>
        <v>TOTAL JURISDICCIONES</v>
      </c>
      <c r="B19" s="794">
        <f>Datos!AP19</f>
        <v>5</v>
      </c>
      <c r="C19" s="794">
        <f>Datos!AR19</f>
        <v>5</v>
      </c>
      <c r="D19" s="794">
        <f>SUBTOTAL(9,D8:D18)</f>
        <v>1934</v>
      </c>
      <c r="E19" s="795">
        <f>IF(ISNUMBER(D19/B19),D19/B19," - ")</f>
        <v>386.8</v>
      </c>
      <c r="F19" s="794">
        <f>SUBTOTAL(9,F8:F18)</f>
        <v>7674</v>
      </c>
      <c r="G19" s="795">
        <f>IF(ISNUMBER(F19/B19),F19/B19," - ")</f>
        <v>1534.8</v>
      </c>
      <c r="H19" s="794">
        <f>SUBTOTAL(9,H8:H18)</f>
        <v>1463</v>
      </c>
      <c r="I19" s="795">
        <f>IF(ISNUMBER(H19/B19),H19/B19," - ")</f>
        <v>292.60000000000002</v>
      </c>
    </row>
    <row r="22" spans="1:78">
      <c r="A22" s="391" t="str">
        <f>Criterios!A4</f>
        <v>Fecha Informe: 28 feb. 2025</v>
      </c>
    </row>
    <row r="27" spans="1:78">
      <c r="A27" s="414"/>
    </row>
  </sheetData>
  <sheetProtection algorithmName="SHA-512" hashValue="UfjYYHH9vyJNzC9jRc3LGMZFFi1MqNMweLQPCCVNTF9E1Fe3aQlCNGuLgsOPXbbvyuol+xBdjHVArHWN+a6dfg==" saltValue="uQ5QPpM3p3bqU8zOoJ8Q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VELEZ-MALAGA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767</v>
      </c>
      <c r="C12" s="434">
        <f>IF(ISNUMBER(Datos!Q12),Datos!Q12," - ")</f>
        <v>1975</v>
      </c>
      <c r="D12" s="408">
        <f>IF(ISNUMBER(Datos!R12),Datos!R12," - ")</f>
        <v>4289</v>
      </c>
    </row>
    <row r="13" spans="1:4" ht="14.25" thickTop="1" thickBot="1">
      <c r="A13" s="848" t="str">
        <f>Datos!A13</f>
        <v>TOTAL</v>
      </c>
      <c r="B13" s="849">
        <f>SUBTOTAL(9,B9:B12)</f>
        <v>767</v>
      </c>
      <c r="C13" s="853">
        <f>SUBTOTAL(9,C9:C12)</f>
        <v>1975</v>
      </c>
      <c r="D13" s="851">
        <f>SUBTOTAL(9,D9:D12)</f>
        <v>4289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88</v>
      </c>
      <c r="C16" s="434">
        <f>IF(ISNUMBER(Datos!Q16),Datos!Q16," - ")</f>
        <v>70</v>
      </c>
      <c r="D16" s="408">
        <f>IF(ISNUMBER(Datos!R16),Datos!R16," - ")</f>
        <v>98</v>
      </c>
    </row>
    <row r="17" spans="1:4" ht="13.5" thickBot="1">
      <c r="A17" s="402" t="str">
        <f>Datos!A17</f>
        <v>Jdos. Violencia contra la mujer</v>
      </c>
      <c r="B17" s="433">
        <f>IF(ISNUMBER(Datos!P17),Datos!P17," - ")</f>
        <v>8</v>
      </c>
      <c r="C17" s="434">
        <f>IF(ISNUMBER(Datos!Q17),Datos!Q17," - ")</f>
        <v>6</v>
      </c>
      <c r="D17" s="408">
        <f>IF(ISNUMBER(Datos!R17),Datos!R17," - ")</f>
        <v>4</v>
      </c>
    </row>
    <row r="18" spans="1:4" ht="14.25" thickTop="1" thickBot="1">
      <c r="A18" s="848" t="str">
        <f>Datos!A18</f>
        <v>TOTAL</v>
      </c>
      <c r="B18" s="849">
        <f>SUBTOTAL(9,B15:B17)</f>
        <v>96</v>
      </c>
      <c r="C18" s="853">
        <f>SUBTOTAL(9,C15:C17)</f>
        <v>76</v>
      </c>
      <c r="D18" s="851">
        <f>SUBTOTAL(9,D15:D17)</f>
        <v>102</v>
      </c>
    </row>
    <row r="19" spans="1:4" ht="16.5" customHeight="1" thickTop="1" thickBot="1">
      <c r="A19" s="793" t="str">
        <f>Datos!A19</f>
        <v>TOTAL JURISDICCIONES</v>
      </c>
      <c r="B19" s="798">
        <f>SUBTOTAL(9,B8:B18)</f>
        <v>863</v>
      </c>
      <c r="C19" s="799">
        <f>SUBTOTAL(9,C8:C18)</f>
        <v>2051</v>
      </c>
      <c r="D19" s="800">
        <f>SUBTOTAL(9,D8:D18)</f>
        <v>4391</v>
      </c>
    </row>
    <row r="20" spans="1:4" ht="7.5" customHeight="1"/>
    <row r="21" spans="1:4" ht="6" customHeight="1"/>
    <row r="22" spans="1:4">
      <c r="A22" s="391" t="str">
        <f>Criterios!A4</f>
        <v>Fecha Informe: 28 feb. 2025</v>
      </c>
    </row>
    <row r="27" spans="1:4">
      <c r="A27" s="414"/>
    </row>
  </sheetData>
  <sheetProtection algorithmName="SHA-512" hashValue="FhEfuc1NvBO8Cnqfo2xNHojVJBIK1/3cSp87LtucDJ2s9VTgjUdZYbH8vlu5/j9IJhs2m67uszl3edxRYBoS+w==" saltValue="DvhPafecYkKrIHV+DZBK3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VELEZ-MALAGA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-0.36</v>
      </c>
      <c r="D10" s="456">
        <f>IF(ISNUMBER((Datos!K10-Datos!U10)/Datos!U10),(Datos!K10-Datos!U10)/Datos!U10," - ")</f>
        <v>-0.34615384615384615</v>
      </c>
      <c r="E10" s="456">
        <f>IF(ISNUMBER((Datos!L10-Datos!V10)/Datos!V10),(Datos!L10-Datos!V10)/Datos!V10," - ")</f>
        <v>-0.14285714285714285</v>
      </c>
      <c r="F10" s="456">
        <f>IF(ISNUMBER((Datos!M10-Datos!W10)/Datos!W10),(Datos!M10-Datos!W10)/Datos!W10," - ")</f>
        <v>0</v>
      </c>
      <c r="G10" s="457">
        <f>IF(ISNUMBER((Datos!N10-Datos!X10)/Datos!X10),(Datos!N10-Datos!X10)/Datos!X10," - ")</f>
        <v>-0.8</v>
      </c>
      <c r="H10" s="455">
        <f>IF(ISNUMBER(((NºAsuntos!G10/NºAsuntos!E10)-Datos!BD10)/Datos!BD10),((NºAsuntos!G10/NºAsuntos!E10)-Datos!BD10)/Datos!BD10," - ")</f>
        <v>2.1634615384615349E-2</v>
      </c>
      <c r="I10" s="456">
        <f>IF(ISNUMBER(((NºAsuntos!I10/NºAsuntos!G10)-Datos!BE10)/Datos!BE10),((NºAsuntos!I10/NºAsuntos!G10)-Datos!BE10)/Datos!BE10," - ")</f>
        <v>0.31092436974789933</v>
      </c>
      <c r="J10" s="461">
        <f>IF(ISNUMBER((('Resol  Asuntos'!D10/NºAsuntos!G10)-Datos!BF10)/Datos!BF10),(('Resol  Asuntos'!D10/NºAsuntos!G10)-Datos!BF10)/Datos!BF10," - ")</f>
        <v>0.52941176470588247</v>
      </c>
      <c r="K10" s="462">
        <f>IF(ISNUMBER((((NºAsuntos!C10+NºAsuntos!E10)/NºAsuntos!G10)-Datos!BG10)/Datos!BG10),(((NºAsuntos!C10+NºAsuntos!E10)/NºAsuntos!G10)-Datos!BG10)/Datos!BG10," - ")</f>
        <v>6.5953654188948427E-2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0.18660446517827392</v>
      </c>
      <c r="C12" s="456">
        <f>IF(ISNUMBER(
   IF(J_V="SI",(Datos!J12-Datos!T12)/Datos!T12,(Datos!J12+Datos!Z12-(Datos!T12+Datos!AH12))/(Datos!T12+Datos!AH12))
     ),IF(J_V="SI",(Datos!J12-Datos!T12)/Datos!T12,(Datos!J12+Datos!Z12-(Datos!T12+Datos!AH12))/(Datos!T12+Datos!AH12))," - ")</f>
        <v>0.18134328358208956</v>
      </c>
      <c r="D12" s="456">
        <f>IF(ISNUMBER(
   IF(J_V="SI",(Datos!K12-Datos!U12)/Datos!U12,(Datos!K12+Datos!AA12-(Datos!U12+Datos!AI12))/(Datos!U12+Datos!AI12))
     ),IF(J_V="SI",(Datos!K12-Datos!U12)/Datos!U12,(Datos!K12+Datos!AA12-(Datos!U12+Datos!AI12))/(Datos!U12+Datos!AI12))," - ")</f>
        <v>-6.2034078807241745E-2</v>
      </c>
      <c r="E12" s="456">
        <f>IF(ISNUMBER(
   IF(J_V="SI",(Datos!L12-Datos!V12)/Datos!V12,(Datos!L12+Datos!AB12-(Datos!V12+Datos!AJ12))/(Datos!V12+Datos!AJ12))
     ),IF(J_V="SI",(Datos!L12-Datos!V12)/Datos!V12,(Datos!L12+Datos!AB12-(Datos!V12+Datos!AJ12))/(Datos!V12+Datos!AJ12))," - ")</f>
        <v>0.34428531311429372</v>
      </c>
      <c r="F12" s="456">
        <f>IF(ISNUMBER((Datos!M12-Datos!W12)/Datos!W12),(Datos!M12-Datos!W12)/Datos!W12," - ")</f>
        <v>9.8391674550614955E-2</v>
      </c>
      <c r="G12" s="457">
        <f>IF(ISNUMBER((Datos!N12-Datos!X12)/Datos!X12),(Datos!N12-Datos!X12)/Datos!X12," - ")</f>
        <v>-9.9002302379125093E-2</v>
      </c>
      <c r="H12" s="455">
        <f>IF(ISNUMBER(((NºAsuntos!G12/NºAsuntos!E12)-Datos!BD12)/Datos!BD12),((NºAsuntos!G12/NºAsuntos!E12)-Datos!BD12)/Datos!BD12," - ")</f>
        <v>-0.20601747669090581</v>
      </c>
      <c r="I12" s="456">
        <f>IF(ISNUMBER(((NºAsuntos!I12/NºAsuntos!G12)-Datos!BE12)/Datos!BE12),((NºAsuntos!I12/NºAsuntos!G12)-Datos!BE12)/Datos!BE12," - ")</f>
        <v>0.43319206246303932</v>
      </c>
      <c r="J12" s="461">
        <f>IF(ISNUMBER((('Resol  Asuntos'!D12/NºAsuntos!G12)-Datos!BF12)/Datos!BF12),(('Resol  Asuntos'!D12/NºAsuntos!G12)-Datos!BF12)/Datos!BF12," - ")</f>
        <v>-5.0050005783722824E-2</v>
      </c>
      <c r="K12" s="462">
        <f>IF(ISNUMBER((((NºAsuntos!C12+NºAsuntos!E12)/NºAsuntos!G12)-Datos!BG12)/Datos!BG12),(((NºAsuntos!C12+NºAsuntos!E12)/NºAsuntos!G12)-Datos!BG12)/Datos!BG12," - ")</f>
        <v>0.26187109164376632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0.1857760053173812</v>
      </c>
      <c r="C13" s="855">
        <f>IF(ISNUMBER(
   IF(J_V="SI",(Datos!J13-Datos!T13)/Datos!T13,(Datos!J13+Datos!Z13-(Datos!T13+Datos!AH13))/(Datos!T13+Datos!AH13))
     ),IF(J_V="SI",(Datos!J13-Datos!T13)/Datos!T13,(Datos!J13+Datos!Z13-(Datos!T13+Datos!AH13))/(Datos!T13+Datos!AH13))," - ")</f>
        <v>0.17799752781211373</v>
      </c>
      <c r="D13" s="855">
        <f>IF(ISNUMBER(
   IF(J_V="SI",(Datos!K13-Datos!U13)/Datos!U13,(Datos!K13+Datos!AA13-(Datos!U13+Datos!AI13))/(Datos!U13+Datos!AI13))
     ),IF(J_V="SI",(Datos!K13-Datos!U13)/Datos!U13,(Datos!K13+Datos!AA13-(Datos!U13+Datos!AI13))/(Datos!U13+Datos!AI13))," - ")</f>
        <v>-6.398730830248546E-2</v>
      </c>
      <c r="E13" s="855">
        <f>IF(ISNUMBER(
   IF(J_V="SI",(Datos!L13-Datos!V13)/Datos!V13,(Datos!L13+Datos!AB13-(Datos!V13+Datos!AJ13))/(Datos!V13+Datos!AJ13))
     ),IF(J_V="SI",(Datos!L13-Datos!V13)/Datos!V13,(Datos!L13+Datos!AB13-(Datos!V13+Datos!AJ13))/(Datos!V13+Datos!AJ13))," - ")</f>
        <v>0.34332959641255606</v>
      </c>
      <c r="F13" s="856">
        <f>IF(ISNUMBER((Datos!M13-Datos!W13)/Datos!W13),(Datos!M13-Datos!W13)/Datos!W13," - ")</f>
        <v>9.7014925373134331E-2</v>
      </c>
      <c r="G13" s="857">
        <f>IF(ISNUMBER((Datos!N13-Datos!X13)/Datos!X13),(Datos!N13-Datos!X13)/Datos!X13," - ")</f>
        <v>-0.10168195718654434</v>
      </c>
      <c r="H13" s="857">
        <f>IF(ISNUMBER(((NºAsuntos!G13/NºAsuntos!E13)-Datos!BD13)/Datos!BD13),((NºAsuntos!G13/NºAsuntos!E13)-Datos!BD13)/Datos!BD13," - ")</f>
        <v>-0.20542049571533136</v>
      </c>
      <c r="I13" s="857">
        <f>IF(ISNUMBER(((NºAsuntos!I13/NºAsuntos!G13)-Datos!BE13)/Datos!BE13),((NºAsuntos!I13/NºAsuntos!G13)-Datos!BE13)/Datos!BE13," - ")</f>
        <v>0.43516173266448788</v>
      </c>
      <c r="J13" s="857">
        <f>IF(ISNUMBER((('Resol  Asuntos'!D13/NºAsuntos!G13)-Datos!BF13)/Datos!BF13),(('Resol  Asuntos'!D13/NºAsuntos!G13)-Datos!BF13)/Datos!BF13," - ")</f>
        <v>-4.6742624932486397E-2</v>
      </c>
      <c r="K13" s="857">
        <f>IF(ISNUMBER((((NºAsuntos!C13+NºAsuntos!E13)/NºAsuntos!G13)-Datos!BG13)/Datos!BG13),(((NºAsuntos!C13+NºAsuntos!E13)/NºAsuntos!G13)-Datos!BG13)/Datos!BG13," - ")</f>
        <v>0.262072166451218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0.41707021791767557</v>
      </c>
      <c r="C16" s="456">
        <f>IF(ISNUMBER(
   IF(D_I="SI",(Datos!J16-Datos!T16)/Datos!T16,(Datos!J16+Datos!AD16-(Datos!T16+Datos!AL16))/(Datos!T16+Datos!AL16))
     ),IF(D_I="SI",(Datos!J16-Datos!T16)/Datos!T16,(Datos!J16+Datos!AD16-(Datos!T16+Datos!AL16))/(Datos!T16+Datos!AL16))," - ")</f>
        <v>-0.36625416468348404</v>
      </c>
      <c r="D16" s="456">
        <f>IF(ISNUMBER(
   IF(D_I="SI",(Datos!K16-Datos!U16)/Datos!U16,(Datos!K16+Datos!AE16-(Datos!U16+Datos!AM16))/(Datos!U16+Datos!AM16))
     ),IF(D_I="SI",(Datos!K16-Datos!U16)/Datos!U16,(Datos!K16+Datos!AE16-(Datos!U16+Datos!AM16))/(Datos!U16+Datos!AM16))," - ")</f>
        <v>-0.33145642490965627</v>
      </c>
      <c r="E16" s="456">
        <f>IF(ISNUMBER(
   IF(D_I="SI",(Datos!L16-Datos!V16)/Datos!V16,(Datos!L16+Datos!AF16-(Datos!V16+Datos!AN16))/(Datos!V16+Datos!AN16))
     ),IF(D_I="SI",(Datos!L16-Datos!V16)/Datos!V16,(Datos!L16+Datos!AF16-(Datos!V16+Datos!AN16))/(Datos!V16+Datos!AN16))," - ")</f>
        <v>-6.1512174284493806E-2</v>
      </c>
      <c r="F16" s="456">
        <f>IF(ISNUMBER((Datos!M16-Datos!W16)/Datos!W16),(Datos!M16-Datos!W16)/Datos!W16," - ")</f>
        <v>3.6392405063291139E-2</v>
      </c>
      <c r="G16" s="457">
        <f>IF(ISNUMBER((Datos!N16-Datos!X16)/Datos!X16),(Datos!N16-Datos!X16)/Datos!X16," - ")</f>
        <v>-0.37793687607139254</v>
      </c>
      <c r="H16" s="455">
        <f>IF(ISNUMBER(((NºAsuntos!G16/NºAsuntos!E16)-Datos!BD16)/Datos!BD16),((NºAsuntos!G16/NºAsuntos!E16)-Datos!BD16)/Datos!BD16," - ")</f>
        <v>5.4908036999483406E-2</v>
      </c>
      <c r="I16" s="456">
        <f>IF(ISNUMBER(((NºAsuntos!I16/NºAsuntos!G16)-Datos!BE16)/Datos!BE16),((NºAsuntos!I16/NºAsuntos!G16)-Datos!BE16)/Datos!BE16," - ")</f>
        <v>0.4037795899671664</v>
      </c>
      <c r="J16" s="461">
        <f>IF(ISNUMBER((('Resol  Asuntos'!D16/NºAsuntos!G16)-Datos!BF16)/Datos!BF16),(('Resol  Asuntos'!D16/NºAsuntos!G16)-Datos!BF16)/Datos!BF16," - ")</f>
        <v>0.55022416440579525</v>
      </c>
      <c r="K16" s="462">
        <f>IF(ISNUMBER((((NºAsuntos!C16+NºAsuntos!E16)/NºAsuntos!G16)-Datos!BG16)/Datos!BG16),(((NºAsuntos!C16+NºAsuntos!E16)/NºAsuntos!G16)-Datos!BG16)/Datos!BG16," - ")</f>
        <v>8.3707282133624564E-2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-0.17073170731707318</v>
      </c>
      <c r="C17" s="456">
        <f>IF(ISNUMBER(
   IF(D_I="SI",(Datos!J17-Datos!T17)/Datos!T17,(Datos!J17+Datos!AD17-(Datos!T17+Datos!AL17))/(Datos!T17+Datos!AL17))
     ),IF(D_I="SI",(Datos!J17-Datos!T17)/Datos!T17,(Datos!J17+Datos!AD17-(Datos!T17+Datos!AL17))/(Datos!T17+Datos!AL17))," - ")</f>
        <v>2.1786492374727671E-3</v>
      </c>
      <c r="D17" s="456">
        <f>IF(ISNUMBER(
   IF(D_I="SI",(Datos!K17-Datos!U17)/Datos!U17,(Datos!K17+Datos!AE17-(Datos!U17+Datos!AM17))/(Datos!U17+Datos!AM17))
     ),IF(D_I="SI",(Datos!K17-Datos!U17)/Datos!U17,(Datos!K17+Datos!AE17-(Datos!U17+Datos!AM17))/(Datos!U17+Datos!AM17))," - ")</f>
        <v>-3.382663847780127E-2</v>
      </c>
      <c r="E17" s="456">
        <f>IF(ISNUMBER(
   IF(D_I="SI",(Datos!L17-Datos!V17)/Datos!V17,(Datos!L17+Datos!AF17-(Datos!V17+Datos!AN17))/(Datos!V17+Datos!AN17))
     ),IF(D_I="SI",(Datos!L17-Datos!V17)/Datos!V17,(Datos!L17+Datos!AF17-(Datos!V17+Datos!AN17))/(Datos!V17+Datos!AN17))," - ")</f>
        <v>4.4117647058823532E-2</v>
      </c>
      <c r="F17" s="456">
        <f>IF(ISNUMBER((Datos!M17-Datos!W17)/Datos!W17),(Datos!M17-Datos!W17)/Datos!W17," - ")</f>
        <v>0.53731343283582089</v>
      </c>
      <c r="G17" s="457">
        <f>IF(ISNUMBER((Datos!N17-Datos!X17)/Datos!X17),(Datos!N17-Datos!X17)/Datos!X17," - ")</f>
        <v>-9.3406593406593408E-2</v>
      </c>
      <c r="H17" s="455">
        <f>IF(ISNUMBER(((NºAsuntos!G17/NºAsuntos!E17)-Datos!BD17)/Datos!BD17),((NºAsuntos!G17/NºAsuntos!E17)-Datos!BD17)/Datos!BD17," - ")</f>
        <v>-3.5927015350675544E-2</v>
      </c>
      <c r="I17" s="456">
        <f>IF(ISNUMBER(((NºAsuntos!I17/NºAsuntos!G17)-Datos!BE17)/Datos!BE17),((NºAsuntos!I17/NºAsuntos!G17)-Datos!BE17)/Datos!BE17," - ")</f>
        <v>8.0673188312524305E-2</v>
      </c>
      <c r="J17" s="461">
        <f>IF(ISNUMBER((('Resol  Asuntos'!D17/NºAsuntos!G17)-Datos!BF17)/Datos!BF17),(('Resol  Asuntos'!D17/NºAsuntos!G17)-Datos!BF17)/Datos!BF17," - ")</f>
        <v>0.59113622260687826</v>
      </c>
      <c r="K17" s="462">
        <f>IF(ISNUMBER((((NºAsuntos!C17+NºAsuntos!E17)/NºAsuntos!G17)-Datos!BG17)/Datos!BG17),(((NºAsuntos!C17+NºAsuntos!E17)/NºAsuntos!G17)-Datos!BG17)/Datos!BG17," - ")</f>
        <v>1.0140068031888451E-2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0.38927335640138411</v>
      </c>
      <c r="C18" s="855">
        <f>IF(ISNUMBER(
   IF(Criterios!B14="SI",(Datos!J18-Datos!T18)/Datos!T18,(Datos!J18+Datos!AD18-(Datos!T18+Datos!AL18))/(Datos!T18+Datos!AL18))
     ),IF(Criterios!B14="SI",(Datos!J18-Datos!T18)/Datos!T18,(Datos!J18+Datos!AD18-(Datos!T18+Datos!AL18))/(Datos!T18+Datos!AL18))," - ")</f>
        <v>-0.35331037122081899</v>
      </c>
      <c r="D18" s="855">
        <f>IF(ISNUMBER(
   IF(Criterios!B14="SI",(Datos!K18-Datos!U18)/Datos!U18,(Datos!K18+Datos!AE18-(Datos!U18+Datos!AM18))/(Datos!U18+Datos!AM18))
     ),IF(Criterios!B14="SI",(Datos!K18-Datos!U18)/Datos!U18,(Datos!K18+Datos!AE18-(Datos!U18+Datos!AM18))/(Datos!U18+Datos!AM18))," - ")</f>
        <v>-0.3200775945683802</v>
      </c>
      <c r="E18" s="855">
        <f>IF(ISNUMBER(
   IF(Criterios!B14="SI",(Datos!L18-Datos!V18)/Datos!V18,(Datos!L18+Datos!AF18-(Datos!V18+Datos!AN18))/(Datos!V18+Datos!AN18))
     ),IF(Criterios!B14="SI",(Datos!L18-Datos!V18)/Datos!V18,(Datos!L18+Datos!AF18-(Datos!V18+Datos!AN18))/(Datos!V18+Datos!AN18))," - ")</f>
        <v>-5.8530510585305104E-2</v>
      </c>
      <c r="F18" s="856">
        <f>IF(ISNUMBER((Datos!M18-Datos!W18)/Datos!W18),(Datos!M18-Datos!W18)/Datos!W18," - ")</f>
        <v>8.4406294706723894E-2</v>
      </c>
      <c r="G18" s="857">
        <f>IF(ISNUMBER((Datos!N18-Datos!X18)/Datos!X18),(Datos!N18-Datos!X18)/Datos!X18," - ")</f>
        <v>-0.367863048341601</v>
      </c>
      <c r="H18" s="857">
        <f>IF(ISNUMBER(((NºAsuntos!G18/NºAsuntos!E18)-Datos!BD18)/Datos!BD18),((NºAsuntos!G18/NºAsuntos!E18)-Datos!BD18)/Datos!BD18," - ")</f>
        <v>5.1389066985928794E-2</v>
      </c>
      <c r="I18" s="857">
        <f>IF(ISNUMBER(((NºAsuntos!I18/NºAsuntos!G18)-Datos!BE18)/Datos!BE18),((NºAsuntos!I18/NºAsuntos!G18)-Datos!BE18)/Datos!BE18," - ")</f>
        <v>0.38467195946726163</v>
      </c>
      <c r="J18" s="857">
        <f>IF(ISNUMBER((('Resol  Asuntos'!D18/NºAsuntos!G18)-Datos!BF18)/Datos!BF18),(('Resol  Asuntos'!D18/NºAsuntos!G18)-Datos!BF18)/Datos!BF18," - ")</f>
        <v>0.59489713244312759</v>
      </c>
      <c r="K18" s="857">
        <f>IF(ISNUMBER((((NºAsuntos!C18+NºAsuntos!E18)/NºAsuntos!G18)-Datos!BG18)/Datos!BG18),(((NºAsuntos!C18+NºAsuntos!E18)/NºAsuntos!G18)-Datos!BG18)/Datos!BG18," - ")</f>
        <v>7.9091109502618009E-2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0.26017288635884461</v>
      </c>
      <c r="C19" s="802">
        <f>IF(ISNUMBER(
   IF(J_V="SI",(Datos!J19-Datos!T19)/Datos!T19,(Datos!J19+Datos!Z19-(Datos!T19+Datos!AH19))/(Datos!T19+Datos!AH19))
     ),IF(J_V="SI",(Datos!J19-Datos!T19)/Datos!T19,(Datos!J19+Datos!Z19-(Datos!T19+Datos!AH19))/(Datos!T19+Datos!AH19))," - ")</f>
        <v>-0.2277030976037405</v>
      </c>
      <c r="D19" s="802">
        <f>IF(ISNUMBER(
   IF(J_V="SI",(Datos!K19-Datos!U19)/Datos!U19,(Datos!K19+Datos!AA19-(Datos!U19+Datos!AI19))/(Datos!U19+Datos!AI19))
     ),IF(J_V="SI",(Datos!K19-Datos!U19)/Datos!U19,(Datos!K19+Datos!AA19-(Datos!U19+Datos!AI19))/(Datos!U19+Datos!AI19))," - ")</f>
        <v>-0.26012133217778877</v>
      </c>
      <c r="E19" s="802">
        <f>IF(ISNUMBER(
   IF(J_V="SI",(Datos!L19-Datos!V19)/Datos!V19,(Datos!L19+Datos!AB19-(Datos!V19+Datos!AJ19))/(Datos!V19+Datos!AJ19))
     ),IF(J_V="SI",(Datos!L19-Datos!V19)/Datos!V19,(Datos!L19+Datos!AB19-(Datos!V19+Datos!AJ19))/(Datos!V19+Datos!AJ19))," - ")</f>
        <v>0.18136188723439853</v>
      </c>
      <c r="F19" s="803">
        <f>IF(ISNUMBER((Datos!M19-Datos!W19)/Datos!W19),(Datos!M19-Datos!W19)/Datos!W19," - ")</f>
        <v>9.2038396386222479E-2</v>
      </c>
      <c r="G19" s="804">
        <f>IF(ISNUMBER((Datos!N19-Datos!X19)/Datos!X19),(Datos!N19-Datos!X19)/Datos!X19," - ")</f>
        <v>-0.3378203468806627</v>
      </c>
      <c r="H19" s="805">
        <f>IF(ISNUMBER((Tasas!B19-Datos!BD19)/Datos!BD19),(Tasas!B19-Datos!BD19)/Datos!BD19," - ")</f>
        <v>-4.1976388191461045E-2</v>
      </c>
      <c r="I19" s="806">
        <f>IF(ISNUMBER((Tasas!C19-Datos!BE19)/Datos!BE19),(Tasas!C19-Datos!BE19)/Datos!BE19," - ")</f>
        <v>0.59669678098933021</v>
      </c>
      <c r="J19" s="807">
        <f>IF(ISNUMBER((Tasas!D19-Datos!BF19)/Datos!BF19),(Tasas!D19-Datos!BF19)/Datos!BF19," - ")</f>
        <v>0.29595542971754824</v>
      </c>
      <c r="K19" s="807">
        <f>IF(ISNUMBER((Tasas!E19-Datos!BG19)/Datos!BG19),(Tasas!E19-Datos!BG19)/Datos!BG19," - ")</f>
        <v>0.18693253313441399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Fk4yFKUJ/Dn3awwin7ECtV3Ea706lF/RIZCisZUVDRKqe02p5OcKbhPH0Q60IqyaLpd6ZWY5VnkN06l1lbLlQ==" saltValue="2KJPcguGJBn8klNNEITy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VELEZ-MALAGA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1.0625</v>
      </c>
      <c r="C10" s="443">
        <f>IF(ISNUMBER(NºAsuntos!I10/NºAsuntos!G10),NºAsuntos!I10/NºAsuntos!G10," - ")</f>
        <v>0.35294117647058826</v>
      </c>
      <c r="D10" s="444">
        <f>IF(ISNUMBER('Resol  Asuntos'!D10/NºAsuntos!G10),'Resol  Asuntos'!D10/NºAsuntos!G10," - ")</f>
        <v>0.88235294117647056</v>
      </c>
      <c r="E10" s="445">
        <f>IF(ISNUMBER((NºAsuntos!C10+NºAsuntos!E10)/NºAsuntos!G10),(NºAsuntos!C10+NºAsuntos!E10)/NºAsuntos!G10," - ")</f>
        <v>1.3529411764705883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0.74184038744998948</v>
      </c>
      <c r="C12" s="443">
        <f>IF(ISNUMBER(NºAsuntos!I12/NºAsuntos!G12),NºAsuntos!I12/NºAsuntos!G12," - ")</f>
        <v>1.3587851263128017</v>
      </c>
      <c r="D12" s="444">
        <f>IF(ISNUMBER('Resol  Asuntos'!D12/NºAsuntos!G12),'Resol  Asuntos'!D12/NºAsuntos!G12," - ")</f>
        <v>0.32954868010218563</v>
      </c>
      <c r="E12" s="445">
        <f>IF(ISNUMBER((NºAsuntos!C12+NºAsuntos!E12)/NºAsuntos!G12),(NºAsuntos!C12+NºAsuntos!E12)/NºAsuntos!G12," - ")</f>
        <v>2.3587851263128017</v>
      </c>
      <c r="G12" s="463"/>
    </row>
    <row r="13" spans="1:7" ht="14.25" thickTop="1" thickBot="1">
      <c r="A13" s="848" t="str">
        <f>Datos!A13</f>
        <v>TOTAL</v>
      </c>
      <c r="B13" s="858">
        <f>IF(ISNUMBER(NºAsuntos!G13/NºAsuntos!E13),NºAsuntos!G13/NºAsuntos!E13," - ")</f>
        <v>0.74291710388247634</v>
      </c>
      <c r="C13" s="859">
        <f>IF(ISNUMBER(NºAsuntos!I13/NºAsuntos!G13),NºAsuntos!I13/NºAsuntos!G13," - ")</f>
        <v>1.3539548022598871</v>
      </c>
      <c r="D13" s="860">
        <f>IF(ISNUMBER('Resol  Asuntos'!D13/NºAsuntos!G13),'Resol  Asuntos'!D13/NºAsuntos!G13," - ")</f>
        <v>0.33220338983050846</v>
      </c>
      <c r="E13" s="861">
        <f>IF(ISNUMBER((NºAsuntos!C13+NºAsuntos!E13)/NºAsuntos!G13),(NºAsuntos!C13+NºAsuntos!E13)/NºAsuntos!G13," - ")</f>
        <v>2.3539548022598868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0.99574414820378021</v>
      </c>
      <c r="C16" s="443">
        <f>IF(ISNUMBER(NºAsuntos!I16/NºAsuntos!G16),NºAsuntos!I16/NºAsuntos!G16," - ")</f>
        <v>0.27617850408548084</v>
      </c>
      <c r="D16" s="444">
        <f>IF(ISNUMBER('Resol  Asuntos'!D16/NºAsuntos!G16),'Resol  Asuntos'!D16/NºAsuntos!G16," - ")</f>
        <v>8.2338152105593962E-2</v>
      </c>
      <c r="E16" s="445">
        <f>IF(ISNUMBER((NºAsuntos!C16+NºAsuntos!E16)/NºAsuntos!G16),(NºAsuntos!C16+NºAsuntos!E16)/NºAsuntos!G16," - ")</f>
        <v>1.2985543683218101</v>
      </c>
      <c r="G16" s="463"/>
    </row>
    <row r="17" spans="1:7" ht="13.5" thickBot="1">
      <c r="A17" s="402" t="str">
        <f>Datos!A17</f>
        <v>Jdos. Violencia contra la mujer</v>
      </c>
      <c r="B17" s="442">
        <f>IF(ISNUMBER(NºAsuntos!G17/NºAsuntos!E17),NºAsuntos!G17/NºAsuntos!E17," - ")</f>
        <v>0.99347826086956526</v>
      </c>
      <c r="C17" s="443">
        <f>IF(ISNUMBER(NºAsuntos!I17/NºAsuntos!G17),NºAsuntos!I17/NºAsuntos!G17," - ")</f>
        <v>0.15536105032822758</v>
      </c>
      <c r="D17" s="444">
        <f>IF(ISNUMBER('Resol  Asuntos'!D17/NºAsuntos!G17),'Resol  Asuntos'!D17/NºAsuntos!G17," - ")</f>
        <v>0.22538293216630198</v>
      </c>
      <c r="E17" s="445">
        <f>IF(ISNUMBER((NºAsuntos!C17+NºAsuntos!E17)/NºAsuntos!G17),(NºAsuntos!C17+NºAsuntos!E17)/NºAsuntos!G17," - ")</f>
        <v>1.1553610503282277</v>
      </c>
      <c r="G17" s="463"/>
    </row>
    <row r="18" spans="1:7" ht="14.25" thickTop="1" thickBot="1">
      <c r="A18" s="848" t="str">
        <f>Datos!A18</f>
        <v>TOTAL</v>
      </c>
      <c r="B18" s="858">
        <f>IF(ISNUMBER(NºAsuntos!G18/NºAsuntos!E18),NºAsuntos!G18/NºAsuntos!E18," - ")</f>
        <v>0.99562078352467742</v>
      </c>
      <c r="C18" s="859">
        <f>IF(ISNUMBER(NºAsuntos!I18/NºAsuntos!G18),NºAsuntos!I18/NºAsuntos!G18," - ")</f>
        <v>0.26961483594864477</v>
      </c>
      <c r="D18" s="862">
        <f>IF(ISNUMBER('Resol  Asuntos'!D18/NºAsuntos!G18),'Resol  Asuntos'!D18/NºAsuntos!G18," - ")</f>
        <v>9.0109367570137905E-2</v>
      </c>
      <c r="E18" s="861">
        <f>IF(ISNUMBER((NºAsuntos!C18+NºAsuntos!E18)/NºAsuntos!G18),(NºAsuntos!C18+NºAsuntos!E18)/NºAsuntos!G18," - ")</f>
        <v>1.2907750832144556</v>
      </c>
      <c r="G18" s="463"/>
    </row>
    <row r="19" spans="1:7" ht="15.75" customHeight="1" thickTop="1" thickBot="1">
      <c r="A19" s="793" t="str">
        <f>Datos!A19</f>
        <v>TOTAL JURISDICCIONES</v>
      </c>
      <c r="B19" s="808">
        <f>IF(ISNUMBER(NºAsuntos!G19/NºAsuntos!E19),NºAsuntos!G19/NºAsuntos!E19," - ")</f>
        <v>0.9044952323293477</v>
      </c>
      <c r="C19" s="809">
        <f>IF(ISNUMBER(NºAsuntos!I19/NºAsuntos!G19),NºAsuntos!I19/NºAsuntos!G19," - ")</f>
        <v>0.59077978580990631</v>
      </c>
      <c r="D19" s="810">
        <f>IF(ISNUMBER('Resol  Asuntos'!D19/NºAsuntos!G19),'Resol  Asuntos'!D19/NºAsuntos!G19," - ")</f>
        <v>0.16181392235609104</v>
      </c>
      <c r="E19" s="811">
        <f>IF(ISNUMBER((NºAsuntos!C19+NºAsuntos!E19)/NºAsuntos!G19),(NºAsuntos!C19+NºAsuntos!E19)/NºAsuntos!G19," - ")</f>
        <v>1.6056726907630523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GyOvTGiGYR59Jad1iERTguWbIzxH/F/1ExdUaq9s9WnNsAMFqCunnYcuJI6FMny3vUp46a6Bo7lOuULZby7dQ==" saltValue="GMmWvusOk5UnXUN0yiVy5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VELEZ-MALAGA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1.0625</v>
      </c>
      <c r="AM10" s="260">
        <f>IF(ISNUMBER(((NºAsuntos!I10/NºAsuntos!G10)*11)/factor_trimestre),((NºAsuntos!I10/NºAsuntos!G10)*11)/factor_trimestre," - ")</f>
        <v>3.882352941176471</v>
      </c>
      <c r="AN10" s="244">
        <f>IF(ISNUMBER('Resol  Asuntos'!D10/NºAsuntos!G10),'Resol  Asuntos'!D10/NºAsuntos!G10," - ")</f>
        <v>0.88235294117647056</v>
      </c>
      <c r="AO10" s="245">
        <f>IF(ISNUMBER((NºAsuntos!C10+NºAsuntos!E10)/NºAsuntos!G10),(NºAsuntos!C10+NºAsuntos!E10)/NºAsuntos!G10," - ")</f>
        <v>1.3529411764705883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1975</v>
      </c>
      <c r="Y12" s="334">
        <f t="shared" si="0"/>
        <v>1975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1161</v>
      </c>
      <c r="AJ12" s="229" t="str">
        <f>IF(ISNUMBER(Datos!BW12),Datos!BW12," - ")</f>
        <v xml:space="preserve"> - </v>
      </c>
      <c r="AK12" s="228" t="str">
        <f>IF(ISNUMBER(Datos!BX12),Datos!BX12," - ")</f>
        <v xml:space="preserve"> - </v>
      </c>
      <c r="AL12" s="243">
        <f>IF(ISNUMBER(NºAsuntos!G12/NºAsuntos!E12),NºAsuntos!G12/NºAsuntos!E12," - ")</f>
        <v>0.74184038744998948</v>
      </c>
      <c r="AM12" s="260">
        <f>IF(ISNUMBER(((NºAsuntos!I12/NºAsuntos!G12)*11)/factor_trimestre),((NºAsuntos!I12/NºAsuntos!G12)*11)/factor_trimestre," - ")</f>
        <v>14.946636389440819</v>
      </c>
      <c r="AN12" s="244">
        <f>IF(ISNUMBER('Resol  Asuntos'!D12/NºAsuntos!G12),'Resol  Asuntos'!D12/NºAsuntos!G12," - ")</f>
        <v>0.32954868010218563</v>
      </c>
      <c r="AO12" s="245">
        <f>IF(ISNUMBER((NºAsuntos!C12+NºAsuntos!E12)/NºAsuntos!G12),(NºAsuntos!C12+NºAsuntos!E12)/NºAsuntos!G12," - ")</f>
        <v>2.3587851263128017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7</v>
      </c>
      <c r="G13" s="866">
        <f t="shared" si="3"/>
        <v>7</v>
      </c>
      <c r="H13" s="865">
        <f t="shared" si="3"/>
        <v>0</v>
      </c>
      <c r="I13" s="867">
        <f t="shared" si="3"/>
        <v>0</v>
      </c>
      <c r="J13" s="867">
        <f t="shared" si="3"/>
        <v>0</v>
      </c>
      <c r="K13" s="867">
        <f t="shared" si="3"/>
        <v>0</v>
      </c>
      <c r="L13" s="867">
        <f t="shared" si="3"/>
        <v>767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1975</v>
      </c>
      <c r="Y13" s="868">
        <f t="shared" si="4"/>
        <v>1992</v>
      </c>
      <c r="Z13" s="868">
        <f t="shared" si="4"/>
        <v>0</v>
      </c>
      <c r="AA13" s="868">
        <f t="shared" si="4"/>
        <v>6</v>
      </c>
      <c r="AB13" s="868">
        <f t="shared" si="4"/>
        <v>4289</v>
      </c>
      <c r="AC13" s="868">
        <f t="shared" si="4"/>
        <v>6</v>
      </c>
      <c r="AD13" s="868">
        <f t="shared" si="4"/>
        <v>0</v>
      </c>
      <c r="AE13" s="872">
        <f t="shared" si="4"/>
        <v>0</v>
      </c>
      <c r="AF13" s="865">
        <f t="shared" si="4"/>
        <v>0</v>
      </c>
      <c r="AG13" s="873">
        <f t="shared" si="4"/>
        <v>0</v>
      </c>
      <c r="AH13" s="870">
        <f t="shared" si="4"/>
        <v>0</v>
      </c>
      <c r="AI13" s="865">
        <f t="shared" si="4"/>
        <v>1176</v>
      </c>
      <c r="AJ13" s="867">
        <f t="shared" si="4"/>
        <v>0</v>
      </c>
      <c r="AK13" s="870">
        <f>SUBTOTAL(9,AK9:AK12)</f>
        <v>0</v>
      </c>
      <c r="AL13" s="874">
        <f>IF(ISNUMBER(NºAsuntos!G13/NºAsuntos!E13),NºAsuntos!G13/NºAsuntos!E13," - ")</f>
        <v>0.74291710388247634</v>
      </c>
      <c r="AM13" s="874">
        <f>IF(ISNUMBER(((NºAsuntos!I13/NºAsuntos!G13)*11)/factor_trimestre),((NºAsuntos!I13/NºAsuntos!G13)*11)/factor_trimestre," - ")</f>
        <v>14.893502824858757</v>
      </c>
      <c r="AN13" s="875">
        <f>IF(ISNUMBER('Resol  Asuntos'!D13/NºAsuntos!G13),'Resol  Asuntos'!D13/NºAsuntos!G13," - ")</f>
        <v>0.33220338983050846</v>
      </c>
      <c r="AO13" s="876">
        <f>IF(ISNUMBER((NºAsuntos!C13+NºAsuntos!E13)/NºAsuntos!G13),(NºAsuntos!C13+NºAsuntos!E13)/NºAsuntos!G13," - ")</f>
        <v>2.3539548022598868</v>
      </c>
      <c r="AP13" s="877" t="str">
        <f t="shared" si="2"/>
        <v xml:space="preserve"> - </v>
      </c>
      <c r="AQ13" s="877">
        <f>IF(ISNUMBER((H13-W13+K13)/(F13)),(H13-W13+K13)/(F13)," - ")</f>
        <v>-2.4285714285714284</v>
      </c>
      <c r="AR13" s="878">
        <f>IF(ISNUMBER((Datos!P13-Datos!Q13)/(Datos!R13-Datos!P13+Datos!Q13)),(Datos!P13-Datos!Q13)/(Datos!R13-Datos!P13+Datos!Q13)," - ")</f>
        <v>-0.21975623067127525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2163</v>
      </c>
      <c r="G16" s="333">
        <f>IF(ISNUMBER(IF(D_I="SI",Datos!I16,Datos!I16+Datos!AC16)),IF(D_I="SI",Datos!I16,Datos!I16+Datos!AC16)," - ")</f>
        <v>2341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7955</v>
      </c>
      <c r="X16" s="226">
        <f>IF(ISNUMBER(Datos!Q16),Datos!Q16," - ")</f>
        <v>70</v>
      </c>
      <c r="Y16" s="334">
        <f t="shared" ref="Y16:Y17" si="7">SUM(W16:X16)</f>
        <v>8025</v>
      </c>
      <c r="Z16" s="335" t="str">
        <f>IF(ISNUMBER(Datos!CC16),Datos!CC16," - ")</f>
        <v xml:space="preserve"> - </v>
      </c>
      <c r="AA16" s="332">
        <f>IF(ISNUMBER(IF(D_I="SI",Datos!L16,Datos!L16+Datos!AF16)),IF(D_I="SI",Datos!L16,Datos!L16+Datos!AF16)," - ")</f>
        <v>2197</v>
      </c>
      <c r="AB16" s="334">
        <f>IF(ISNUMBER(Datos!R16),Datos!R16," - ")</f>
        <v>98</v>
      </c>
      <c r="AC16" s="334">
        <f t="shared" si="6"/>
        <v>2295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655</v>
      </c>
      <c r="AJ16" s="231" t="str">
        <f>IF(ISNUMBER(Datos!BW16),Datos!BW16," - ")</f>
        <v xml:space="preserve"> - </v>
      </c>
      <c r="AK16" s="232" t="str">
        <f>IF(ISNUMBER(Datos!BX16),Datos!BX16," - ")</f>
        <v xml:space="preserve"> - </v>
      </c>
      <c r="AL16" s="243">
        <f>IF(ISNUMBER(NºAsuntos!G16/NºAsuntos!E16),NºAsuntos!G16/NºAsuntos!E16," - ")</f>
        <v>0.99574414820378021</v>
      </c>
      <c r="AM16" s="260">
        <f>IF(ISNUMBER(((NºAsuntos!I16/NºAsuntos!G16)*11)/factor_trimestre),((NºAsuntos!I16/NºAsuntos!G16)*11)/factor_trimestre," - ")</f>
        <v>3.0379635449402893</v>
      </c>
      <c r="AN16" s="244">
        <f>IF(ISNUMBER('Resol  Asuntos'!D16/NºAsuntos!G16),'Resol  Asuntos'!D16/NºAsuntos!G16," - ")</f>
        <v>8.2338152105593962E-2</v>
      </c>
      <c r="AO16" s="245">
        <f>IF(ISNUMBER((NºAsuntos!C16+NºAsuntos!E16)/NºAsuntos!G16),(NºAsuntos!C16+NºAsuntos!E16)/NºAsuntos!G16," - ")</f>
        <v>1.2985543683218101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457</v>
      </c>
      <c r="X17" s="226">
        <f>IF(ISNUMBER(Datos!Q17),Datos!Q17," - ")</f>
        <v>6</v>
      </c>
      <c r="Y17" s="334">
        <f t="shared" si="7"/>
        <v>463</v>
      </c>
      <c r="Z17" s="335" t="str">
        <f>IF(ISNUMBER(Datos!CC17),Datos!CC17," - ")</f>
        <v xml:space="preserve"> - </v>
      </c>
      <c r="AA17" s="332">
        <f>IF(ISNUMBER(Datos!L17),Datos!L17,"-")</f>
        <v>71</v>
      </c>
      <c r="AB17" s="334">
        <f>IF(ISNUMBER(Datos!R17),Datos!R17," - ")</f>
        <v>4</v>
      </c>
      <c r="AC17" s="334">
        <f t="shared" si="6"/>
        <v>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103</v>
      </c>
      <c r="AJ17" s="231" t="str">
        <f>IF(ISNUMBER(Datos!BW17),Datos!BW17," - ")</f>
        <v xml:space="preserve"> - </v>
      </c>
      <c r="AK17" s="232" t="str">
        <f>IF(ISNUMBER(Datos!BX17),Datos!BX17," - ")</f>
        <v xml:space="preserve"> - </v>
      </c>
      <c r="AL17" s="243">
        <f>IF(ISNUMBER(NºAsuntos!G17/NºAsuntos!E17),NºAsuntos!G17/NºAsuntos!E17," - ")</f>
        <v>0.99347826086956526</v>
      </c>
      <c r="AM17" s="260">
        <f>IF(ISNUMBER(((NºAsuntos!I17/NºAsuntos!G17)*11)/factor_trimestre),((NºAsuntos!I17/NºAsuntos!G17)*11)/factor_trimestre," - ")</f>
        <v>1.7089715536105035</v>
      </c>
      <c r="AN17" s="244">
        <f>IF(ISNUMBER('Resol  Asuntos'!D17/NºAsuntos!G17),'Resol  Asuntos'!D17/NºAsuntos!G17," - ")</f>
        <v>0.22538293216630198</v>
      </c>
      <c r="AO17" s="245">
        <f>IF(ISNUMBER((NºAsuntos!C17+NºAsuntos!E17)/NºAsuntos!G17),(NºAsuntos!C17+NºAsuntos!E17)/NºAsuntos!G17," - ")</f>
        <v>1.1553610503282277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2163</v>
      </c>
      <c r="G18" s="866">
        <f>SUBTOTAL(9,G15:G17)</f>
        <v>2409</v>
      </c>
      <c r="H18" s="865">
        <f t="shared" ref="H18:O18" si="10">SUBTOTAL(9,H14:H17)</f>
        <v>0</v>
      </c>
      <c r="I18" s="867">
        <f t="shared" si="10"/>
        <v>0</v>
      </c>
      <c r="J18" s="867">
        <f t="shared" si="10"/>
        <v>0</v>
      </c>
      <c r="K18" s="867">
        <f t="shared" si="10"/>
        <v>0</v>
      </c>
      <c r="L18" s="867">
        <f t="shared" si="10"/>
        <v>96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8412</v>
      </c>
      <c r="X18" s="867">
        <f t="shared" si="11"/>
        <v>76</v>
      </c>
      <c r="Y18" s="868">
        <f t="shared" si="11"/>
        <v>8488</v>
      </c>
      <c r="Z18" s="868">
        <f t="shared" si="11"/>
        <v>0</v>
      </c>
      <c r="AA18" s="868">
        <f t="shared" si="11"/>
        <v>2268</v>
      </c>
      <c r="AB18" s="868">
        <f t="shared" si="11"/>
        <v>102</v>
      </c>
      <c r="AC18" s="868">
        <f t="shared" si="11"/>
        <v>2370</v>
      </c>
      <c r="AD18" s="868">
        <f t="shared" si="11"/>
        <v>0</v>
      </c>
      <c r="AE18" s="872">
        <f t="shared" si="11"/>
        <v>0</v>
      </c>
      <c r="AF18" s="865">
        <f t="shared" si="11"/>
        <v>0</v>
      </c>
      <c r="AG18" s="873">
        <f t="shared" si="11"/>
        <v>0</v>
      </c>
      <c r="AH18" s="870">
        <f t="shared" si="11"/>
        <v>0</v>
      </c>
      <c r="AI18" s="865">
        <f t="shared" si="11"/>
        <v>758</v>
      </c>
      <c r="AJ18" s="867">
        <f t="shared" si="11"/>
        <v>0</v>
      </c>
      <c r="AK18" s="870">
        <f t="shared" si="11"/>
        <v>0</v>
      </c>
      <c r="AL18" s="874">
        <f>IF(ISNUMBER(NºAsuntos!G18/NºAsuntos!E18),NºAsuntos!G18/NºAsuntos!E18," - ")</f>
        <v>0.99562078352467742</v>
      </c>
      <c r="AM18" s="874">
        <f>IF(ISNUMBER(((NºAsuntos!I18/NºAsuntos!G18)*11)/factor_trimestre),((NºAsuntos!I18/NºAsuntos!G18)*11)/factor_trimestre," - ")</f>
        <v>2.9657631954350925</v>
      </c>
      <c r="AN18" s="875">
        <f>IF(ISNUMBER('Resol  Asuntos'!D18/NºAsuntos!G18),'Resol  Asuntos'!D18/NºAsuntos!G18," - ")</f>
        <v>9.0109367570137905E-2</v>
      </c>
      <c r="AO18" s="876">
        <f>IF(ISNUMBER((NºAsuntos!C18+NºAsuntos!E18)/NºAsuntos!G18),(NºAsuntos!C18+NºAsuntos!E18)/NºAsuntos!G18," - ")</f>
        <v>1.2907750832144556</v>
      </c>
      <c r="AP18" s="877" t="str">
        <f t="shared" si="2"/>
        <v xml:space="preserve"> - </v>
      </c>
      <c r="AQ18" s="877">
        <f>IF(ISNUMBER((H18-W18+K18)/(F18)),(H18-W18+K18)/(F18)," - ")</f>
        <v>-3.8890429958391124</v>
      </c>
      <c r="AR18" s="878">
        <f>IF(ISNUMBER((Datos!P18-Datos!Q18)/(Datos!R18-Datos!P18+Datos!Q18)),(Datos!P18-Datos!Q18)/(Datos!R18-Datos!P18+Datos!Q18)," - ")</f>
        <v>0.24390243902439024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2170</v>
      </c>
      <c r="G19" s="821">
        <f t="shared" si="13"/>
        <v>2416</v>
      </c>
      <c r="H19" s="820">
        <f t="shared" si="13"/>
        <v>0</v>
      </c>
      <c r="I19" s="822">
        <f t="shared" si="13"/>
        <v>0</v>
      </c>
      <c r="J19" s="822">
        <f t="shared" si="13"/>
        <v>0</v>
      </c>
      <c r="K19" s="881">
        <f t="shared" si="13"/>
        <v>0</v>
      </c>
      <c r="L19" s="822">
        <f t="shared" si="13"/>
        <v>863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8429</v>
      </c>
      <c r="X19" s="821">
        <f t="shared" si="14"/>
        <v>2051</v>
      </c>
      <c r="Y19" s="828">
        <f t="shared" si="14"/>
        <v>10480</v>
      </c>
      <c r="Z19" s="828">
        <f t="shared" si="14"/>
        <v>0</v>
      </c>
      <c r="AA19" s="828">
        <f t="shared" si="14"/>
        <v>2274</v>
      </c>
      <c r="AB19" s="828">
        <f t="shared" si="14"/>
        <v>4391</v>
      </c>
      <c r="AC19" s="828">
        <f t="shared" si="14"/>
        <v>2376</v>
      </c>
      <c r="AD19" s="828">
        <f t="shared" si="14"/>
        <v>0</v>
      </c>
      <c r="AE19" s="830">
        <f t="shared" si="14"/>
        <v>0</v>
      </c>
      <c r="AF19" s="831">
        <f t="shared" si="14"/>
        <v>0</v>
      </c>
      <c r="AG19" s="832">
        <f t="shared" si="14"/>
        <v>0</v>
      </c>
      <c r="AH19" s="830">
        <f t="shared" si="14"/>
        <v>0</v>
      </c>
      <c r="AI19" s="820">
        <f t="shared" si="14"/>
        <v>1934</v>
      </c>
      <c r="AJ19" s="820">
        <f t="shared" si="14"/>
        <v>0</v>
      </c>
      <c r="AK19" s="830">
        <f t="shared" si="14"/>
        <v>0</v>
      </c>
      <c r="AL19" s="884">
        <f>IF(ISNUMBER(NºAsuntos!G19/NºAsuntos!E19),NºAsuntos!G19/NºAsuntos!E19," - ")</f>
        <v>0.9044952323293477</v>
      </c>
      <c r="AM19" s="885">
        <f>IF(ISNUMBER(((NºAsuntos!I19/NºAsuntos!G19)*11)/factor_trimestre),((NºAsuntos!I19/NºAsuntos!G19)*11)/factor_trimestre," - ")</f>
        <v>6.4985776439089697</v>
      </c>
      <c r="AN19" s="885">
        <f>IF(ISNUMBER('Resol  Asuntos'!D19/NºAsuntos!G19),'Resol  Asuntos'!D19/NºAsuntos!G19," - ")</f>
        <v>0.16181392235609104</v>
      </c>
      <c r="AO19" s="886">
        <f>IF(ISNUMBER((NºAsuntos!C19+NºAsuntos!E19)/NºAsuntos!G19),(NºAsuntos!C19+NºAsuntos!E19)/NºAsuntos!G19," - ")</f>
        <v>1.6056726907630523</v>
      </c>
      <c r="AP19" s="887" t="str">
        <f t="shared" si="2"/>
        <v xml:space="preserve"> - </v>
      </c>
      <c r="AQ19" s="888">
        <f>IF(OR(ISNUMBER(FIND("01",Criterios!A8,1)),ISNUMBER(FIND("02",Criterios!A8,1)),ISNUMBER(FIND("03",Criterios!A8,1)),ISNUMBER(FIND("04",Criterios!A8,1))),(I19-W19+K19)/(F19-K19),(H19-W19+K19)/(F19-K19))</f>
        <v>-3.8843317972350229</v>
      </c>
      <c r="AR19" s="889">
        <f>IF(ISNUMBER((Datos!P19-Datos!Q19)/(Datos!R19-Datos!P19+Datos!Q19)),(Datos!P19-Datos!Q19)/(Datos!R19-Datos!P19+Datos!Q19)," - ")</f>
        <v>-0.21294138734540241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1244.7671803728331</v>
      </c>
      <c r="G21" s="253">
        <f>IF(ISNUMBER(STDEV(G8:G18)),STDEV(G8:G18),"-")</f>
        <v>1286.3358037464402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4399.282987033228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500.34974434555943</v>
      </c>
      <c r="AJ21" s="252">
        <f t="shared" si="18"/>
        <v>0</v>
      </c>
      <c r="AK21" s="254">
        <f t="shared" si="18"/>
        <v>0</v>
      </c>
      <c r="AL21" s="249">
        <f t="shared" si="18"/>
        <v>0.14158797895619066</v>
      </c>
      <c r="AM21" s="250">
        <f t="shared" si="18"/>
        <v>6.246451042275611</v>
      </c>
      <c r="AN21" s="250">
        <f t="shared" si="18"/>
        <v>0.29485114302805787</v>
      </c>
      <c r="AO21" s="251">
        <f t="shared" si="18"/>
        <v>0.56250476480351608</v>
      </c>
      <c r="AP21" s="291" t="str">
        <f t="shared" si="18"/>
        <v>-</v>
      </c>
      <c r="AQ21" s="292">
        <f t="shared" si="18"/>
        <v>1.0327093489451231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mPyeRkdnDDnvW8y+oO1UqOkUkkPrnwoDUcfovPl88lBiJXnZ3FeAkb80np7RtxhDuiwJVafODD444xgn1o30g==" saltValue="ziSjwRmdr21vfJJCH/kd3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VELEZ-MALAGA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-0.36</v>
      </c>
      <c r="F10" s="348">
        <f>IF(ISNUMBER((Datos!K10-Datos!U10)/Datos!U10),(Datos!K10-Datos!U10)/Datos!U10," - ")</f>
        <v>-0.34615384615384615</v>
      </c>
      <c r="G10" s="349">
        <f>IF(ISNUMBER((Datos!L10-Datos!V10)/Datos!V10),(Datos!L10-Datos!V10)/Datos!V10," - ")</f>
        <v>-0.14285714285714285</v>
      </c>
      <c r="H10" s="230">
        <f>IF(ISNUMBER((Datos!M10-Datos!W10)/Datos!W10),(Datos!M10-Datos!W10)/Datos!W10," - ")</f>
        <v>0</v>
      </c>
      <c r="I10" s="350">
        <f>IF(ISNUMBER((Tasas!C10-Datos!BE10)/Datos!BE10),(Tasas!C10-Datos!BE10)/Datos!BE10," - ")</f>
        <v>0.31092436974789933</v>
      </c>
      <c r="J10" s="349">
        <f>IF(ISNUMBER((Tasas!D10-Datos!BF10)/Datos!BF10),(Tasas!D10-Datos!BF10)/Datos!BF10," - ")</f>
        <v>0.52941176470588247</v>
      </c>
      <c r="K10" s="351">
        <f>IF(ISNUMBER((Tasas!E10-Datos!BG10)/Datos!BG10),(Tasas!E10-Datos!BG10)/Datos!BG10," - ")</f>
        <v>6.5953654188948427E-2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9.8391674550614955E-2</v>
      </c>
      <c r="I12" s="350">
        <f>IF(ISNUMBER((Tasas!C12-Datos!BE12)/Datos!BE12),(Tasas!C12-Datos!BE12)/Datos!BE12," - ")</f>
        <v>0.43319206246303932</v>
      </c>
      <c r="J12" s="349">
        <f>IF(ISNUMBER((Tasas!D12-Datos!BF12)/Datos!BF12),(Tasas!D12-Datos!BF12)/Datos!BF12," - ")</f>
        <v>-5.0050005783722824E-2</v>
      </c>
      <c r="K12" s="351">
        <f>IF(ISNUMBER((Tasas!E12-Datos!BG12)/Datos!BG12),(Tasas!E12-Datos!BG12)/Datos!BG12," - ")</f>
        <v>0.26187109164376632</v>
      </c>
      <c r="M12" t="e">
        <f>IF(Monitorios="SI",Datos!CE12,0)</f>
        <v>#REF!</v>
      </c>
      <c r="N12" t="e">
        <f>IF(Monitorios="SI",Datos!CF12,0)</f>
        <v>#REF!</v>
      </c>
      <c r="O12" t="e">
        <f>IF(Monitorios="SI",Datos!CG12,0)</f>
        <v>#REF!</v>
      </c>
      <c r="P12" t="e">
        <f>IF(Monitorios="SI",Datos!CH12,0)</f>
        <v>#REF!</v>
      </c>
      <c r="Q12">
        <f>IF(J_V="SI",0,Datos!AG12)</f>
        <v>86</v>
      </c>
      <c r="R12">
        <f>IF(J_V="SI",0,Datos!AH12)</f>
        <v>327</v>
      </c>
      <c r="S12">
        <f>IF(J_V="SI",0,Datos!AI12)</f>
        <v>341</v>
      </c>
      <c r="T12">
        <f>IF(J_V="SI",0,Datos!AJ12)</f>
        <v>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9.7014925373134331E-2</v>
      </c>
      <c r="I13" s="357">
        <f>IF(ISNUMBER((Tasas!C13-Datos!BE13)/Datos!BE13),(Tasas!C13-Datos!BE13)/Datos!BE13," - ")</f>
        <v>0.43516173266448788</v>
      </c>
      <c r="J13" s="355">
        <f>IF(ISNUMBER((Tasas!D13-Datos!BF13)/Datos!BF13),(Tasas!D13-Datos!BF13)/Datos!BF13," - ")</f>
        <v>-4.6742624932486397E-2</v>
      </c>
      <c r="K13" s="358">
        <f>IF(ISNUMBER((Tasas!E13-Datos!BG13)/Datos!BG13),(Tasas!E13-Datos!BG13)/Datos!BG13," - ")</f>
        <v>0.262072166451218</v>
      </c>
      <c r="M13" t="e">
        <f>IF(Monitorios="SI",Datos!CE13,0)</f>
        <v>#REF!</v>
      </c>
      <c r="N13" t="e">
        <f>IF(Monitorios="SI",Datos!CF13,0)</f>
        <v>#REF!</v>
      </c>
      <c r="O13" t="e">
        <f>IF(Monitorios="SI",Datos!CG13,0)</f>
        <v>#REF!</v>
      </c>
      <c r="P13" t="e">
        <f>IF(Monitorios="SI",Datos!CH13,0)</f>
        <v>#REF!</v>
      </c>
      <c r="Q13">
        <f>IF(J_V="SI",0,Datos!AG13)</f>
        <v>86</v>
      </c>
      <c r="R13">
        <f>IF(J_V="SI",0,Datos!AH13)</f>
        <v>327</v>
      </c>
      <c r="S13">
        <f>IF(J_V="SI",0,Datos!AI13)</f>
        <v>341</v>
      </c>
      <c r="T13">
        <f>IF(J_V="SI",0,Datos!AJ13)</f>
        <v>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0.41707021791767557</v>
      </c>
      <c r="E16" s="348">
        <f>IF(ISNUMBER(
   IF(D_I="SI",(Datos!J16-Datos!T16)/Datos!T16,(Datos!J16+Datos!AD16-(Datos!T16+Datos!AL16))/(Datos!T16+Datos!AL16))
     ),IF(D_I="SI",(Datos!J16-Datos!T16)/Datos!T16,(Datos!J16+Datos!AD16-(Datos!T16+Datos!AL16))/(Datos!T16+Datos!AL16))," - ")</f>
        <v>-0.36625416468348404</v>
      </c>
      <c r="F16" s="348">
        <f>IF(ISNUMBER(
   IF(D_I="SI",(Datos!K16-Datos!U16)/Datos!U16,(Datos!K16+Datos!AE16-(Datos!U16+Datos!AM16))/(Datos!U16+Datos!AM16))
     ),IF(D_I="SI",(Datos!K16-Datos!U16)/Datos!U16,(Datos!K16+Datos!AE16-(Datos!U16+Datos!AM16))/(Datos!U16+Datos!AM16))," - ")</f>
        <v>-0.33145642490965627</v>
      </c>
      <c r="G16" s="349">
        <f>IF(ISNUMBER(
   IF(D_I="SI",(Datos!L16-Datos!V16)/Datos!V16,(Datos!L16+Datos!AF16-(Datos!V16+Datos!AN16))/(Datos!V16+Datos!AN16))
     ),IF(D_I="SI",(Datos!L16-Datos!V16)/Datos!V16,(Datos!L16+Datos!AF16-(Datos!V16+Datos!AN16))/(Datos!V16+Datos!AN16))," - ")</f>
        <v>-6.1512174284493806E-2</v>
      </c>
      <c r="H16" s="230">
        <f>IF(ISNUMBER((Datos!M16-Datos!W16)/Datos!W16),(Datos!M16-Datos!W16)/Datos!W16," - ")</f>
        <v>3.6392405063291139E-2</v>
      </c>
      <c r="I16" s="350">
        <f>IF(ISNUMBER((Tasas!C16-Datos!BE16)/Datos!BE16),(Tasas!C16-Datos!BE16)/Datos!BE16," - ")</f>
        <v>0.4037795899671664</v>
      </c>
      <c r="J16" s="349">
        <f>IF(ISNUMBER((Tasas!D16-Datos!BF16)/Datos!BF16),(Tasas!D16-Datos!BF16)/Datos!BF16," - ")</f>
        <v>0.55022416440579525</v>
      </c>
      <c r="K16" s="351">
        <f>IF(ISNUMBER((Tasas!E16-Datos!BG16)/Datos!BG16),(Tasas!E16-Datos!BG16)/Datos!BG16," - ")</f>
        <v>8.3707282133624564E-2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-0.17073170731707318</v>
      </c>
      <c r="E17" s="348">
        <f>IF(ISNUMBER(
   IF(D_I="SI",(Datos!J17-Datos!T17)/Datos!T17,(Datos!J17+Datos!AD17-(Datos!T17+Datos!AL17))/(Datos!T17+Datos!AL17))
     ),IF(D_I="SI",(Datos!J17-Datos!T17)/Datos!T17,(Datos!J17+Datos!AD17-(Datos!T17+Datos!AL17))/(Datos!T17+Datos!AL17))," - ")</f>
        <v>2.1786492374727671E-3</v>
      </c>
      <c r="F17" s="348">
        <f>IF(ISNUMBER(
   IF(D_I="SI",(Datos!K17-Datos!U17)/Datos!U17,(Datos!K17+Datos!AE17-(Datos!U17+Datos!AM17))/(Datos!U17+Datos!AM17))
     ),IF(D_I="SI",(Datos!K17-Datos!U17)/Datos!U17,(Datos!K17+Datos!AE17-(Datos!U17+Datos!AM17))/(Datos!U17+Datos!AM17))," - ")</f>
        <v>-3.382663847780127E-2</v>
      </c>
      <c r="G17" s="349">
        <f>IF(ISNUMBER(
   IF(D_I="SI",(Datos!L17-Datos!V17)/Datos!V17,(Datos!L17+Datos!AF17-(Datos!V17+Datos!AN17))/(Datos!V17+Datos!AN17))
     ),IF(D_I="SI",(Datos!L17-Datos!V17)/Datos!V17,(Datos!L17+Datos!AF17-(Datos!V17+Datos!AN17))/(Datos!V17+Datos!AN17))," - ")</f>
        <v>4.4117647058823532E-2</v>
      </c>
      <c r="H17" s="230">
        <f>IF(ISNUMBER((Datos!M17-Datos!W17)/Datos!W17),(Datos!M17-Datos!W17)/Datos!W17," - ")</f>
        <v>0.53731343283582089</v>
      </c>
      <c r="I17" s="350">
        <f>IF(ISNUMBER((Tasas!C17-Datos!BE17)/Datos!BE17),(Tasas!C17-Datos!BE17)/Datos!BE17," - ")</f>
        <v>8.0673188312524305E-2</v>
      </c>
      <c r="J17" s="349">
        <f>IF(ISNUMBER((Tasas!D17-Datos!BF17)/Datos!BF17),(Tasas!D17-Datos!BF17)/Datos!BF17," - ")</f>
        <v>0.59113622260687826</v>
      </c>
      <c r="K17" s="351">
        <f>IF(ISNUMBER((Tasas!E17-Datos!BG17)/Datos!BG17),(Tasas!E17-Datos!BG17)/Datos!BG17," - ")</f>
        <v>1.0140068031888451E-2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0.38927335640138411</v>
      </c>
      <c r="E18" s="354">
        <f>IF(ISNUMBER(
   IF(D_I="SI",(Datos!J18-Datos!T18)/Datos!T18,(Datos!J18+Datos!AD18-(Datos!T18+Datos!AL18))/(Datos!T18+Datos!AL18))
     ),IF(D_I="SI",(Datos!J18-Datos!T18)/Datos!T18,(Datos!J18+Datos!AD18-(Datos!T18+Datos!AL18))/(Datos!T18+Datos!AL18))," - ")</f>
        <v>-0.35331037122081899</v>
      </c>
      <c r="F18" s="354">
        <f>IF(ISNUMBER(
   IF(D_I="SI",(Datos!K18-Datos!U18)/Datos!U18,(Datos!K18+Datos!AE18-(Datos!U18+Datos!AM18))/(Datos!U18+Datos!AM18))
     ),IF(D_I="SI",(Datos!K18-Datos!U18)/Datos!U18,(Datos!K18+Datos!AE18-(Datos!U18+Datos!AM18))/(Datos!U18+Datos!AM18))," - ")</f>
        <v>-0.3200775945683802</v>
      </c>
      <c r="G18" s="355">
        <f>IF(ISNUMBER(
   IF(D_I="SI",(Datos!L18-Datos!V18)/Datos!V18,(Datos!L18+Datos!AF18-(Datos!V18+Datos!AN18))/(Datos!V18+Datos!AN18))
     ),IF(D_I="SI",(Datos!L18-Datos!V18)/Datos!V18,(Datos!L18+Datos!AF18-(Datos!V18+Datos!AN18))/(Datos!V18+Datos!AN18))," - ")</f>
        <v>-5.8530510585305104E-2</v>
      </c>
      <c r="H18" s="356">
        <f>IF(ISNUMBER((Datos!M18-Datos!W18)/Datos!W18),(Datos!M18-Datos!W18)/Datos!W18," - ")</f>
        <v>8.4406294706723894E-2</v>
      </c>
      <c r="I18" s="357">
        <f>IF(ISNUMBER((Tasas!C18-Datos!BE18)/Datos!BE18),(Tasas!C18-Datos!BE18)/Datos!BE18," - ")</f>
        <v>0.38467195946726163</v>
      </c>
      <c r="J18" s="355">
        <f>IF(ISNUMBER((Tasas!D18-Datos!BF18)/Datos!BF18),(Tasas!D18-Datos!BF18)/Datos!BF18," - ")</f>
        <v>0.59489713244312759</v>
      </c>
      <c r="K18" s="358">
        <f>IF(ISNUMBER((Tasas!E18-Datos!BG18)/Datos!BG18),(Tasas!E18-Datos!BG18)/Datos!BG18," - ")</f>
        <v>7.9091109502618009E-2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0.26017288635884461</v>
      </c>
      <c r="E19" s="363">
        <f>IF(ISNUMBER(
   IF(J_V="SI",(Datos!J19-Datos!T19)/Datos!T19,(Datos!J19+Datos!Z19-(Datos!T19+Datos!AH19))/(Datos!T19+Datos!AH19))
     ),IF(J_V="SI",(Datos!J19-Datos!T19)/Datos!T19,(Datos!J19+Datos!Z19-(Datos!T19+Datos!AH19))/(Datos!T19+Datos!AH19))," - ")</f>
        <v>-0.2277030976037405</v>
      </c>
      <c r="F19" s="363">
        <f>IF(ISNUMBER(
   IF(J_V="SI",(Datos!K19-Datos!U19)/Datos!U19,(Datos!K19+Datos!AA19-(Datos!U19+Datos!AI19))/(Datos!U19+Datos!AI19))
     ),IF(J_V="SI",(Datos!K19-Datos!U19)/Datos!U19,(Datos!K19+Datos!AA19-(Datos!U19+Datos!AI19))/(Datos!U19+Datos!AI19))," - ")</f>
        <v>-0.26012133217778877</v>
      </c>
      <c r="G19" s="364">
        <f>IF(ISNUMBER(
   IF(J_V="SI",(Datos!L19-Datos!V19)/Datos!V19,(Datos!L19+Datos!AB19-(Datos!V19+Datos!AJ19))/(Datos!V19+Datos!AJ19))
     ),IF(J_V="SI",(Datos!L19-Datos!V19)/Datos!V19,(Datos!L19+Datos!AB19-(Datos!V19+Datos!AJ19))/(Datos!V19+Datos!AJ19))," - ")</f>
        <v>0.18136188723439853</v>
      </c>
      <c r="H19" s="365">
        <f>IF(ISNUMBER((Datos!M19-Datos!W19)/Datos!W19),(Datos!M19-Datos!W19)/Datos!W19," - ")</f>
        <v>9.2038396386222479E-2</v>
      </c>
      <c r="I19" s="362">
        <f>IF(ISNUMBER((Tasas!C19-Datos!BE19)/Datos!BE19),(Tasas!C19-Datos!BE19)/Datos!BE19," - ")</f>
        <v>0.59669678098933021</v>
      </c>
      <c r="J19" s="363">
        <f>IF(ISNUMBER((Tasas!D19-Datos!BF19)/Datos!BF19),(Tasas!D19-Datos!BF19)/Datos!BF19," - ")</f>
        <v>0.29595542971754824</v>
      </c>
      <c r="K19" s="364">
        <f>IF(ISNUMBER((Tasas!E19-Datos!BG19)/Datos!BG19),(Tasas!E19-Datos!BG19)/Datos!BG19," - ")</f>
        <v>0.18693253313441399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0.31889105186593403</v>
      </c>
      <c r="E21" s="278">
        <f t="shared" si="1"/>
        <v>0.1810938898982804</v>
      </c>
      <c r="F21" s="278">
        <f t="shared" si="1"/>
        <v>0.1497489140630828</v>
      </c>
      <c r="G21" s="279">
        <f t="shared" si="1"/>
        <v>7.6589136865531218E-2</v>
      </c>
      <c r="H21" s="285">
        <f t="shared" si="1"/>
        <v>0.19739891982536306</v>
      </c>
      <c r="I21" s="277">
        <f t="shared" si="1"/>
        <v>0.13556397407471377</v>
      </c>
      <c r="J21" s="278">
        <f t="shared" si="1"/>
        <v>0.31845050876384556</v>
      </c>
      <c r="K21" s="279">
        <f t="shared" si="1"/>
        <v>0.10769123125743546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Ij2ebjfTM7KyztxzidTbSbjcLZs5y/FVIYCFEJXXelvMmpiWKA8AbCwtZ1xhIYMRsIWeir97mNtd2iX7DU5uw==" saltValue="JpZxxz/omPp4eHP0py5w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16</v>
      </c>
      <c r="F10" s="226">
        <f>IF(ISNUMBER(Datos!K10),Datos!K10," - ")</f>
        <v>17</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3.882352941176471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14.946636389440819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16</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2163</v>
      </c>
      <c r="D16" s="225">
        <f>IF(ISNUMBER(IF(D_I="SI",Datos!I16,Datos!I16+Datos!AC16)),IF(D_I="SI",Datos!I16,Datos!I16+Datos!AC16)," - ")</f>
        <v>2341</v>
      </c>
      <c r="E16" s="226">
        <f>IF(ISNUMBER(IF(D_I="SI",Datos!J16,Datos!J16+Datos!AD16)),IF(D_I="SI",Datos!J16,Datos!J16+Datos!AD16)," - ")</f>
        <v>7989</v>
      </c>
      <c r="F16" s="226">
        <f>IF(ISNUMBER(IF(D_I="SI",Datos!K16,Datos!K16+Datos!AE16)),IF(D_I="SI",Datos!K16,Datos!K16+Datos!AE16)," - ")</f>
        <v>7955</v>
      </c>
      <c r="G16" s="1034" t="str">
        <f>IF(Datos!E16&lt;&gt;"",Datos!E16,Datos!D16)</f>
        <v>04</v>
      </c>
      <c r="H16" s="227">
        <f>IF(ISNUMBER(IF(D_I="SI",Datos!L16,Datos!L16+Datos!AF16)),IF(D_I="SI",Datos!L16,Datos!L16+Datos!AF16)," - ")</f>
        <v>2197</v>
      </c>
      <c r="I16" s="1044" t="str">
        <f>IF(ISNUMBER(Datos!AS16/Datos!BM16),Datos!AS16/Datos!BM16," - ")</f>
        <v xml:space="preserve"> - </v>
      </c>
      <c r="J16" s="1045">
        <f>IF(ISNUMBER(Datos!BY16/Datos!CN16),Datos!BY16/Datos!CN16," - ")</f>
        <v>0</v>
      </c>
      <c r="K16" s="230">
        <f t="shared" si="3"/>
        <v>1.5718908922792419E-2</v>
      </c>
      <c r="L16" s="1025">
        <f>IF(ISNUMBER(NºAsuntos!I16/NºAsuntos!G16),(NºAsuntos!I16/NºAsuntos!G16)*11," - ")</f>
        <v>3.0379635449402893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460</v>
      </c>
      <c r="F17" s="226">
        <f>IF(ISNUMBER(IF(D_I="SI",Datos!K17,Datos!K17+Datos!AE17)),IF(D_I="SI",Datos!K17,Datos!K17+Datos!AE17)," - ")</f>
        <v>457</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4.4117647058823532E-2</v>
      </c>
      <c r="L17" s="1025">
        <f>IF(ISNUMBER(NºAsuntos!I17/NºAsuntos!G17),(NºAsuntos!I17/NºAsuntos!G17)*11," - ")</f>
        <v>1.7089715536105035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2231</v>
      </c>
      <c r="D18" s="1049">
        <f>SUBTOTAL(9,D15:D17)</f>
        <v>2409</v>
      </c>
      <c r="E18" s="1050">
        <f>SUBTOTAL(9,E15:E17)</f>
        <v>8449</v>
      </c>
      <c r="F18" s="1050">
        <f>SUBTOTAL(9,F15:F17)</f>
        <v>8412</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2238</v>
      </c>
      <c r="D19" s="1071">
        <f>SUBTOTAL(9,D9:D18)</f>
        <v>2416</v>
      </c>
      <c r="E19" s="1072">
        <f>SUBTOTAL(9,E9:E18)</f>
        <v>8465</v>
      </c>
      <c r="F19" s="1072">
        <f>SUBTOTAL(9,F9:F18)</f>
        <v>8429</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tTWeQfJLPRk55AGKskICVP46WRc7CNu8Od2fUpNut7DJRMPSn+dxT+rJwnl5jgcHmQxBawR5b1kcopMOOXdFw==" saltValue="5NvLdBlisHV92+0I04BJ9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T2OQpYD6EjeZy/XygbKCZG3PvLu2+M7che+ZfWvprn3tKb1JxZ4iHUjQq/YR4CtSQpLMdp0Vw1eurwOPJKbBQ==" saltValue="K2ZpcnUmRQ00rOKA7ldp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16</v>
      </c>
      <c r="K10" s="181">
        <v>17</v>
      </c>
      <c r="L10" s="181">
        <v>6</v>
      </c>
      <c r="M10" s="181">
        <v>15</v>
      </c>
      <c r="N10" s="181">
        <v>1</v>
      </c>
      <c r="O10" s="181">
        <v>0</v>
      </c>
      <c r="P10" s="181">
        <v>0</v>
      </c>
      <c r="Q10" s="181">
        <v>0</v>
      </c>
      <c r="R10" s="181">
        <v>0</v>
      </c>
      <c r="S10" s="181">
        <v>8</v>
      </c>
      <c r="T10" s="181">
        <v>25</v>
      </c>
      <c r="U10" s="181">
        <v>26</v>
      </c>
      <c r="V10" s="181">
        <v>7</v>
      </c>
      <c r="W10" s="181">
        <v>15</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25</v>
      </c>
      <c r="BA10" s="129">
        <f t="shared" si="0"/>
        <v>26</v>
      </c>
      <c r="BB10" s="129">
        <f t="shared" si="0"/>
        <v>7</v>
      </c>
      <c r="BC10" s="125">
        <f t="shared" si="0"/>
        <v>15</v>
      </c>
      <c r="BD10" s="126">
        <f>IF(ISNUMBER(BA10/AZ10),BA10/AZ10," - ")</f>
        <v>1.04</v>
      </c>
      <c r="BE10" s="127">
        <f>IF(ISNUMBER(BB10/BA10),BB10/BA10, " - ")</f>
        <v>0.26923076923076922</v>
      </c>
      <c r="BF10" s="127">
        <f>IF(ISNUMBER(BC10/BA10),BC10/BA10, " - ")</f>
        <v>0.57692307692307687</v>
      </c>
      <c r="BG10" s="196">
        <f>IF(ISNUMBER((AY10+AZ10)/BA10),(AY10+AZ10)/BA10," - ")</f>
        <v>1.2692307692307692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3486</v>
      </c>
      <c r="J12" s="183">
        <v>4382</v>
      </c>
      <c r="K12" s="183">
        <v>3164</v>
      </c>
      <c r="L12" s="183">
        <v>4704</v>
      </c>
      <c r="M12" s="183">
        <v>1161</v>
      </c>
      <c r="N12" s="183">
        <v>1174</v>
      </c>
      <c r="O12" s="181">
        <v>1413</v>
      </c>
      <c r="P12" s="183">
        <v>767</v>
      </c>
      <c r="Q12" s="183">
        <v>1975</v>
      </c>
      <c r="R12" s="183">
        <v>4289</v>
      </c>
      <c r="S12" s="183">
        <v>2915</v>
      </c>
      <c r="T12" s="183">
        <v>3693</v>
      </c>
      <c r="U12" s="183">
        <v>3415</v>
      </c>
      <c r="V12" s="183">
        <v>3486</v>
      </c>
      <c r="W12" s="183">
        <v>1057</v>
      </c>
      <c r="X12" s="189">
        <v>1303</v>
      </c>
      <c r="Y12" s="191">
        <v>75</v>
      </c>
      <c r="Z12" s="181">
        <v>367</v>
      </c>
      <c r="AA12" s="181">
        <v>359</v>
      </c>
      <c r="AB12" s="181">
        <v>83</v>
      </c>
      <c r="AC12" s="183">
        <v>0</v>
      </c>
      <c r="AD12" s="183">
        <v>0</v>
      </c>
      <c r="AE12" s="183">
        <v>0</v>
      </c>
      <c r="AF12" s="189">
        <v>0</v>
      </c>
      <c r="AG12" s="202">
        <v>86</v>
      </c>
      <c r="AH12" s="183">
        <v>327</v>
      </c>
      <c r="AI12" s="183">
        <v>341</v>
      </c>
      <c r="AJ12" s="203">
        <v>75</v>
      </c>
      <c r="AK12" s="182">
        <v>0</v>
      </c>
      <c r="AL12" s="183">
        <v>0</v>
      </c>
      <c r="AM12" s="183">
        <v>0</v>
      </c>
      <c r="AN12" s="189">
        <v>0</v>
      </c>
      <c r="AO12" s="259">
        <v>5</v>
      </c>
      <c r="AP12" s="155">
        <v>5</v>
      </c>
      <c r="AQ12" s="155">
        <v>5</v>
      </c>
      <c r="AR12" s="154">
        <v>5</v>
      </c>
      <c r="AS12" s="340" t="s">
        <v>802</v>
      </c>
      <c r="AT12" s="203"/>
      <c r="AU12" s="202"/>
      <c r="AV12" s="203"/>
      <c r="AW12" s="202"/>
      <c r="AX12" s="203"/>
      <c r="AY12" s="126">
        <f t="shared" si="1"/>
        <v>3001</v>
      </c>
      <c r="AZ12" s="127">
        <f t="shared" si="1"/>
        <v>4020</v>
      </c>
      <c r="BA12" s="127">
        <f t="shared" si="1"/>
        <v>3756</v>
      </c>
      <c r="BB12" s="127">
        <f t="shared" si="1"/>
        <v>3561</v>
      </c>
      <c r="BC12" s="125">
        <f>IF(ISNUMBER(X12),X12," - ")</f>
        <v>1303</v>
      </c>
      <c r="BD12" s="126">
        <f t="shared" si="2"/>
        <v>0.93432835820895521</v>
      </c>
      <c r="BE12" s="127">
        <f t="shared" si="3"/>
        <v>0.94808306709265178</v>
      </c>
      <c r="BF12" s="127">
        <f t="shared" si="4"/>
        <v>0.34691160809371674</v>
      </c>
      <c r="BG12" s="196">
        <f t="shared" si="5"/>
        <v>1.8692758253461128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3493</v>
      </c>
      <c r="J13" s="184">
        <f t="shared" si="6"/>
        <v>4398</v>
      </c>
      <c r="K13" s="184">
        <f t="shared" si="6"/>
        <v>3181</v>
      </c>
      <c r="L13" s="184">
        <f t="shared" si="6"/>
        <v>4710</v>
      </c>
      <c r="M13" s="184">
        <f t="shared" si="6"/>
        <v>1176</v>
      </c>
      <c r="N13" s="184">
        <f t="shared" si="6"/>
        <v>1175</v>
      </c>
      <c r="O13" s="184">
        <f t="shared" si="6"/>
        <v>1413</v>
      </c>
      <c r="P13" s="184">
        <f t="shared" si="6"/>
        <v>767</v>
      </c>
      <c r="Q13" s="184">
        <f t="shared" si="6"/>
        <v>1975</v>
      </c>
      <c r="R13" s="184">
        <f t="shared" si="6"/>
        <v>4289</v>
      </c>
      <c r="S13" s="184">
        <f t="shared" si="6"/>
        <v>2923</v>
      </c>
      <c r="T13" s="184">
        <f t="shared" si="6"/>
        <v>3718</v>
      </c>
      <c r="U13" s="184">
        <f t="shared" si="6"/>
        <v>3441</v>
      </c>
      <c r="V13" s="184">
        <f t="shared" si="6"/>
        <v>3493</v>
      </c>
      <c r="W13" s="184">
        <f t="shared" si="6"/>
        <v>1072</v>
      </c>
      <c r="X13" s="184">
        <f t="shared" si="6"/>
        <v>1308</v>
      </c>
      <c r="Y13" s="184">
        <f t="shared" si="6"/>
        <v>75</v>
      </c>
      <c r="Z13" s="184">
        <f t="shared" si="6"/>
        <v>367</v>
      </c>
      <c r="AA13" s="184">
        <f t="shared" si="6"/>
        <v>359</v>
      </c>
      <c r="AB13" s="184">
        <f t="shared" si="6"/>
        <v>83</v>
      </c>
      <c r="AC13" s="184">
        <f t="shared" si="6"/>
        <v>0</v>
      </c>
      <c r="AD13" s="184">
        <f t="shared" si="6"/>
        <v>0</v>
      </c>
      <c r="AE13" s="184">
        <f t="shared" si="6"/>
        <v>0</v>
      </c>
      <c r="AF13" s="184">
        <f>SUBTOTAL(9,AF9:AF12)</f>
        <v>0</v>
      </c>
      <c r="AG13" s="184">
        <f t="shared" ref="AG13:AT13" si="7">SUBTOTAL(9,AG8:AG12)</f>
        <v>86</v>
      </c>
      <c r="AH13" s="184">
        <f t="shared" si="7"/>
        <v>327</v>
      </c>
      <c r="AI13" s="184">
        <f t="shared" si="7"/>
        <v>341</v>
      </c>
      <c r="AJ13" s="184">
        <f t="shared" si="7"/>
        <v>75</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3009</v>
      </c>
      <c r="AZ13" s="184">
        <f>SUBTOTAL(9,AZ8:AZ12)</f>
        <v>4045</v>
      </c>
      <c r="BA13" s="184">
        <f>SUBTOTAL(9,BA8:BA12)</f>
        <v>3782</v>
      </c>
      <c r="BB13" s="184">
        <f>SUBTOTAL(9,BB8:BB12)</f>
        <v>3568</v>
      </c>
      <c r="BC13" s="184">
        <f>SUBTOTAL(9,BC8:BC12)</f>
        <v>1318</v>
      </c>
      <c r="BD13" s="205">
        <f>IF(ISNUMBER(BA13/AZ13),BA13/AZ13," - ")</f>
        <v>0.93498145859085291</v>
      </c>
      <c r="BE13" s="206">
        <f>IF(ISNUMBER(BB13/BA13),BB13/BA13, " - ")</f>
        <v>0.94341618191433108</v>
      </c>
      <c r="BF13" s="206">
        <f>IF(ISNUMBER(BC13/BA13),BC13/BA13, " - ")</f>
        <v>0.34849286092014808</v>
      </c>
      <c r="BG13" s="207">
        <f>IF(ISNUMBER((AY13+AZ13)/BA13),(AY13+AZ13)/BA13," - ")</f>
        <v>1.8651507139079853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2341</v>
      </c>
      <c r="J16" s="183">
        <v>7989</v>
      </c>
      <c r="K16" s="183">
        <v>7955</v>
      </c>
      <c r="L16" s="183">
        <v>2197</v>
      </c>
      <c r="M16" s="183">
        <v>655</v>
      </c>
      <c r="N16" s="183">
        <v>6169</v>
      </c>
      <c r="O16" s="181">
        <v>48</v>
      </c>
      <c r="P16" s="183">
        <v>88</v>
      </c>
      <c r="Q16" s="183">
        <v>70</v>
      </c>
      <c r="R16" s="183">
        <v>98</v>
      </c>
      <c r="S16" s="183">
        <v>1652</v>
      </c>
      <c r="T16" s="183">
        <v>12606</v>
      </c>
      <c r="U16" s="183">
        <v>11899</v>
      </c>
      <c r="V16" s="183">
        <v>2341</v>
      </c>
      <c r="W16" s="183">
        <v>632</v>
      </c>
      <c r="X16" s="189">
        <v>9917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1652</v>
      </c>
      <c r="AZ16" s="127">
        <f t="shared" si="9"/>
        <v>12606</v>
      </c>
      <c r="BA16" s="127">
        <f t="shared" si="9"/>
        <v>11899</v>
      </c>
      <c r="BB16" s="127">
        <f t="shared" si="9"/>
        <v>2341</v>
      </c>
      <c r="BC16" s="125">
        <f>IF(ISNUMBER(W16),W16," - ")</f>
        <v>632</v>
      </c>
      <c r="BD16" s="126">
        <f t="shared" ref="BD16" si="11">IF(ISNUMBER(BA16/AZ16),BA16/AZ16," - ")</f>
        <v>0.9439155957480565</v>
      </c>
      <c r="BE16" s="127">
        <f t="shared" ref="BE16" si="12">IF(ISNUMBER(BB16/BA16),BB16/BA16, " - ")</f>
        <v>0.19673922178334313</v>
      </c>
      <c r="BF16" s="127">
        <f t="shared" ref="BF16" si="13">IF(ISNUMBER(BC16/BA16),BC16/BA16, " - ")</f>
        <v>5.3113707034204552E-2</v>
      </c>
      <c r="BG16" s="196">
        <f t="shared" si="10"/>
        <v>1.1982519539457097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460</v>
      </c>
      <c r="K17" s="183">
        <v>457</v>
      </c>
      <c r="L17" s="183">
        <v>71</v>
      </c>
      <c r="M17" s="183">
        <v>103</v>
      </c>
      <c r="N17" s="183">
        <v>330</v>
      </c>
      <c r="O17" s="183">
        <v>2</v>
      </c>
      <c r="P17" s="183">
        <v>8</v>
      </c>
      <c r="Q17" s="183">
        <v>6</v>
      </c>
      <c r="R17" s="183">
        <v>4</v>
      </c>
      <c r="S17" s="183">
        <v>82</v>
      </c>
      <c r="T17" s="183">
        <v>459</v>
      </c>
      <c r="U17" s="183">
        <v>473</v>
      </c>
      <c r="V17" s="183">
        <v>68</v>
      </c>
      <c r="W17" s="183">
        <v>67</v>
      </c>
      <c r="X17" s="189">
        <v>364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82</v>
      </c>
      <c r="AZ17" s="129">
        <f t="shared" si="14"/>
        <v>459</v>
      </c>
      <c r="BA17" s="129">
        <f t="shared" si="14"/>
        <v>473</v>
      </c>
      <c r="BB17" s="129">
        <f t="shared" si="14"/>
        <v>68</v>
      </c>
      <c r="BC17" s="125">
        <f>IF(ISNUMBER(W17),W17," - ")</f>
        <v>67</v>
      </c>
      <c r="BD17" s="126">
        <f>IF(ISNUMBER(BA17/AZ17),BA17/AZ17," - ")</f>
        <v>1.0305010893246187</v>
      </c>
      <c r="BE17" s="127">
        <f>IF(ISNUMBER(BB17/BA17),BB17/BA17, " - ")</f>
        <v>0.14376321353065538</v>
      </c>
      <c r="BF17" s="127">
        <f>IF(ISNUMBER(BC17/BA17),BC17/BA17, " - ")</f>
        <v>0.14164904862579281</v>
      </c>
      <c r="BG17" s="196">
        <f>IF(ISNUMBER((AY17+AZ17)/BA17),(AY17+AZ17)/BA17," - ")</f>
        <v>1.1437632135306555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2409</v>
      </c>
      <c r="J18" s="184">
        <f t="shared" si="15"/>
        <v>8449</v>
      </c>
      <c r="K18" s="184">
        <f t="shared" si="15"/>
        <v>8412</v>
      </c>
      <c r="L18" s="184">
        <f t="shared" si="15"/>
        <v>2268</v>
      </c>
      <c r="M18" s="184">
        <f t="shared" si="15"/>
        <v>758</v>
      </c>
      <c r="N18" s="184">
        <f t="shared" si="15"/>
        <v>6499</v>
      </c>
      <c r="O18" s="184">
        <f t="shared" si="15"/>
        <v>50</v>
      </c>
      <c r="P18" s="184">
        <f t="shared" si="15"/>
        <v>96</v>
      </c>
      <c r="Q18" s="184">
        <f t="shared" si="15"/>
        <v>76</v>
      </c>
      <c r="R18" s="184">
        <f t="shared" si="15"/>
        <v>102</v>
      </c>
      <c r="S18" s="184">
        <f t="shared" si="15"/>
        <v>1734</v>
      </c>
      <c r="T18" s="184">
        <f t="shared" si="15"/>
        <v>13065</v>
      </c>
      <c r="U18" s="184">
        <f t="shared" si="15"/>
        <v>12372</v>
      </c>
      <c r="V18" s="184">
        <f t="shared" si="15"/>
        <v>2409</v>
      </c>
      <c r="W18" s="184">
        <f t="shared" si="15"/>
        <v>699</v>
      </c>
      <c r="X18" s="184">
        <f t="shared" si="15"/>
        <v>10281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1734</v>
      </c>
      <c r="AZ18" s="184">
        <f>SUBTOTAL(9,AZ14:AZ17)</f>
        <v>13065</v>
      </c>
      <c r="BA18" s="184">
        <f>SUBTOTAL(9,BA14:BA17)</f>
        <v>12372</v>
      </c>
      <c r="BB18" s="184">
        <f>SUBTOTAL(9,BB14:BB17)</f>
        <v>2409</v>
      </c>
      <c r="BC18" s="184">
        <f>SUBTOTAL(9,BC14:BC17)</f>
        <v>699</v>
      </c>
      <c r="BD18" s="205">
        <f>IF(ISNUMBER(BA18/AZ18),BA18/AZ18," - ")</f>
        <v>0.94695752009184841</v>
      </c>
      <c r="BE18" s="206">
        <f>IF(ISNUMBER(BB18/BA18),BB18/BA18, " - ")</f>
        <v>0.19471387002909796</v>
      </c>
      <c r="BF18" s="206">
        <f>IF(ISNUMBER(BC18/BA18),BC18/BA18, " - ")</f>
        <v>5.6498545101842872E-2</v>
      </c>
      <c r="BG18" s="207">
        <f>IF(ISNUMBER((AY18+AZ18)/BA18),(AY18+AZ18)/BA18," - ")</f>
        <v>1.196168768186227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5902</v>
      </c>
      <c r="J19" s="134">
        <f t="shared" si="18"/>
        <v>12847</v>
      </c>
      <c r="K19" s="134">
        <f t="shared" si="18"/>
        <v>11593</v>
      </c>
      <c r="L19" s="134">
        <f t="shared" si="18"/>
        <v>6978</v>
      </c>
      <c r="M19" s="134">
        <f t="shared" si="18"/>
        <v>1934</v>
      </c>
      <c r="N19" s="134">
        <f t="shared" si="18"/>
        <v>7674</v>
      </c>
      <c r="O19" s="134">
        <f t="shared" si="18"/>
        <v>1463</v>
      </c>
      <c r="P19" s="134">
        <f t="shared" si="18"/>
        <v>863</v>
      </c>
      <c r="Q19" s="134">
        <f t="shared" si="18"/>
        <v>2051</v>
      </c>
      <c r="R19" s="134">
        <f t="shared" si="18"/>
        <v>4391</v>
      </c>
      <c r="S19" s="134">
        <f t="shared" si="18"/>
        <v>4657</v>
      </c>
      <c r="T19" s="134">
        <f t="shared" si="18"/>
        <v>16783</v>
      </c>
      <c r="U19" s="134">
        <f t="shared" si="18"/>
        <v>15813</v>
      </c>
      <c r="V19" s="134">
        <f t="shared" si="18"/>
        <v>5902</v>
      </c>
      <c r="W19" s="134">
        <f t="shared" si="18"/>
        <v>1771</v>
      </c>
      <c r="X19" s="134">
        <f t="shared" si="18"/>
        <v>11589</v>
      </c>
      <c r="Y19" s="134">
        <f t="shared" si="18"/>
        <v>75</v>
      </c>
      <c r="Z19" s="134">
        <f t="shared" si="18"/>
        <v>367</v>
      </c>
      <c r="AA19" s="134">
        <f t="shared" si="18"/>
        <v>359</v>
      </c>
      <c r="AB19" s="134">
        <f t="shared" si="18"/>
        <v>83</v>
      </c>
      <c r="AC19" s="134">
        <f t="shared" si="18"/>
        <v>0</v>
      </c>
      <c r="AD19" s="134">
        <f t="shared" si="18"/>
        <v>1</v>
      </c>
      <c r="AE19" s="134">
        <f t="shared" si="18"/>
        <v>1</v>
      </c>
      <c r="AF19" s="134">
        <f t="shared" si="18"/>
        <v>0</v>
      </c>
      <c r="AG19" s="134">
        <f t="shared" si="18"/>
        <v>86</v>
      </c>
      <c r="AH19" s="134">
        <f t="shared" si="18"/>
        <v>327</v>
      </c>
      <c r="AI19" s="134">
        <f t="shared" si="18"/>
        <v>341</v>
      </c>
      <c r="AJ19" s="134">
        <f t="shared" si="18"/>
        <v>75</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4743</v>
      </c>
      <c r="AZ19" s="134">
        <f>SUBTOTAL(9,AZ9:AZ18)</f>
        <v>17110</v>
      </c>
      <c r="BA19" s="134">
        <f>SUBTOTAL(9,BA9:BA18)</f>
        <v>16154</v>
      </c>
      <c r="BB19" s="134">
        <f>SUBTOTAL(9,BB9:BB18)</f>
        <v>5977</v>
      </c>
      <c r="BC19" s="135">
        <f>SUBTOTAL(9,BC9:BC18)</f>
        <v>2017</v>
      </c>
      <c r="BD19" s="213">
        <f>IF(ISNUMBER(BA19/AZ19),BA19/AZ19," - ")</f>
        <v>0.94412624196376393</v>
      </c>
      <c r="BE19" s="210">
        <f>IF(ISNUMBER(BB19/BA19),BB19/BA19, " - ")</f>
        <v>0.37000123808344682</v>
      </c>
      <c r="BF19" s="210">
        <f>IF(ISNUMBER(BC19/BA19),BC19/BA19, " - ")</f>
        <v>0.12486071561223226</v>
      </c>
      <c r="BG19" s="135">
        <f>IF(ISNUMBER((AY19+AZ19)/BA19),(AY19+AZ19)/BA19," - ")</f>
        <v>1.3527918781725887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9QxrKCccvM4fN0GCGor7zpwYkaFe0L5/X3oCso0esM1eRUnLU3SyTc9tsqzOiImYyCdS3UdJfX5aHYOA+YCAg==" saltValue="4Cnrock89R+TLEMMhZrj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bD1jQsBfyMJ8hAuAybvrPzqxnpxfvGTvd1r699dYqKgvMC7heILg+t2zfjE6OchC/YETRn//M9evlpcXycNEA==" saltValue="j8d7RJ0zqzO2qkPSmV6C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VELEZ-MALAGA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v>
      </c>
      <c r="BE10" s="229" t="str">
        <f>IF(ISNUMBER(Datos!BW10),Datos!BW10," - ")</f>
        <v xml:space="preserve"> - </v>
      </c>
      <c r="BF10" s="228" t="str">
        <f>IF(ISNUMBER(Datos!BX10),Datos!BX10," - ")</f>
        <v xml:space="preserve"> - </v>
      </c>
      <c r="BG10" s="243">
        <f>IF(ISNUMBER(Datos!K10/Datos!J10),Datos!K10/Datos!J10," - ")</f>
        <v>1.0625</v>
      </c>
      <c r="BH10" s="260">
        <f>IF(ISNUMBER(((Datos!L10/Datos!K10)*11)/factor_trimestre),((Datos!L10/Datos!K10)*11)/factor_trimestre," - ")</f>
        <v>3.882352941176471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367</v>
      </c>
      <c r="O12" s="334"/>
      <c r="P12" s="334"/>
      <c r="Q12" s="226">
        <f>IF(ISNUMBER(Datos!P12),Datos!P12,0)</f>
        <v>767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83</v>
      </c>
      <c r="AI12" s="334" t="str">
        <f>IF(ISNUMBER(Datos!CD12),Datos!CD12,"-")</f>
        <v>-</v>
      </c>
      <c r="AJ12" s="334" t="str">
        <f>IF(ISNUMBER(Datos!EN12),Datos!EN12," - ")</f>
        <v xml:space="preserve"> - </v>
      </c>
      <c r="AK12" s="334"/>
      <c r="AL12" s="479"/>
      <c r="AM12" s="335">
        <f>IF(ISNUMBER(Datos!R12),Datos!R12," - ")</f>
        <v>4289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1161</v>
      </c>
      <c r="BD12" s="229">
        <f>IF(ISNUMBER(Datos!N12),Datos!N12," - ")</f>
        <v>1174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0.74184038744998948</v>
      </c>
      <c r="BH12" s="260">
        <f>IF(ISNUMBER(((IF(J_V="SI",Datos!L12/Datos!K12,(Datos!L12+Datos!AB12)/(Datos!K12+Datos!AA12)))*11)/factor_trimestre),((IF(J_V="SI",Datos!L12/Datos!K12,(Datos!L12+Datos!AB12)/(Datos!K12+Datos!AA12)))*11)/factor_trimestre," - ")</f>
        <v>14.946636389440819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-0.21975623067127525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367</v>
      </c>
      <c r="O13" s="900">
        <f t="shared" si="0"/>
        <v>0</v>
      </c>
      <c r="P13" s="900">
        <f t="shared" si="0"/>
        <v>0</v>
      </c>
      <c r="Q13" s="899">
        <f t="shared" si="0"/>
        <v>767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1975</v>
      </c>
      <c r="AD13" s="899">
        <f t="shared" si="1"/>
        <v>0</v>
      </c>
      <c r="AE13" s="899">
        <f t="shared" si="1"/>
        <v>0</v>
      </c>
      <c r="AF13" s="899">
        <f t="shared" si="1"/>
        <v>6</v>
      </c>
      <c r="AG13" s="899">
        <f t="shared" si="1"/>
        <v>0</v>
      </c>
      <c r="AH13" s="899">
        <f t="shared" si="1"/>
        <v>83</v>
      </c>
      <c r="AI13" s="899">
        <f t="shared" si="1"/>
        <v>0</v>
      </c>
      <c r="AJ13" s="899">
        <f t="shared" si="1"/>
        <v>0</v>
      </c>
      <c r="AK13" s="899">
        <f t="shared" si="1"/>
        <v>0</v>
      </c>
      <c r="AL13" s="899">
        <f t="shared" si="1"/>
        <v>0</v>
      </c>
      <c r="AM13" s="899">
        <f t="shared" si="1"/>
        <v>4289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1176</v>
      </c>
      <c r="BD13" s="899">
        <f t="shared" si="1"/>
        <v>1175</v>
      </c>
      <c r="BE13" s="899">
        <f t="shared" si="1"/>
        <v>0</v>
      </c>
      <c r="BF13" s="899">
        <f t="shared" si="1"/>
        <v>0</v>
      </c>
      <c r="BG13" s="899">
        <f>IF(ISNUMBER(Datos!K13/Datos!J13),Datos!K13/Datos!J13," - ")</f>
        <v>0.72328331059572537</v>
      </c>
      <c r="BH13" s="903">
        <f>IF(ISNUMBER(((Datos!L13/Datos!K13)*11)/factor_trimestre),((Datos!L13/Datos!K13)*11)/factor_trimestre," - ")</f>
        <v>16.287331027978624</v>
      </c>
      <c r="BI13" s="899">
        <f>IF(ISNUMBER('Resol  Asuntos'!D13/NºAsuntos!G13),'Resol  Asuntos'!D13/NºAsuntos!G13," - ")</f>
        <v>0.33220338983050846</v>
      </c>
      <c r="BJ13" s="899" t="str">
        <f>IF(ISNUMBER(Datos!CI13/Datos!CJ13),Datos!CI13/Datos!CJ13," - ")</f>
        <v xml:space="preserve"> - </v>
      </c>
      <c r="BK13" s="899">
        <f>SUBTOTAL(9,BK8:BK12)</f>
        <v>0</v>
      </c>
      <c r="BL13" s="899">
        <f>IF(ISNUMBER((I13-AB13+L13)/(F13)),(I13-AB13+L13)/(F13)," - ")</f>
        <v>-2.4285714285714284</v>
      </c>
      <c r="BM13" s="904">
        <f>SUBTOTAL(9,BM9:BM12)</f>
        <v>-0.21975623067127525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2163</v>
      </c>
      <c r="G16" s="598">
        <f>IF(ISNUMBER(IF(D_I="SI",Datos!I16,Datos!I16+Datos!AC16)),IF(D_I="SI",Datos!I16,Datos!I16+Datos!AC16)," - ")</f>
        <v>2341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7955</v>
      </c>
      <c r="AC16" s="226">
        <f>IF(ISNUMBER(Datos!Q16),Datos!Q16," - ")</f>
        <v>70</v>
      </c>
      <c r="AD16" s="334"/>
      <c r="AE16" s="484"/>
      <c r="AF16" s="596">
        <f>IF(ISNUMBER(IF(D_I="SI",Datos!L16,Datos!L16+Datos!AF16)),IF(D_I="SI",Datos!L16,Datos!L16+Datos!AF16)," - ")</f>
        <v>2197</v>
      </c>
      <c r="AG16" s="334"/>
      <c r="AH16" s="334"/>
      <c r="AI16" s="334"/>
      <c r="AJ16" s="334"/>
      <c r="AK16" s="334"/>
      <c r="AL16" s="479"/>
      <c r="AM16" s="335">
        <f>IF(ISNUMBER(Datos!R16),Datos!R16," - ")</f>
        <v>98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655</v>
      </c>
      <c r="BD16" s="229">
        <f>IF(ISNUMBER(Datos!N16),Datos!N16," - ")</f>
        <v>6169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0.99574414820378021</v>
      </c>
      <c r="BH16" s="260">
        <f>IF(ISNUMBER(((IF(D_I="SI",Datos!L16/Datos!K16,(Datos!L16+Datos!AF16)/(Datos!K16+Datos!AE16)))*11)/factor_trimestre),((IF(D_I="SI",Datos!L16/Datos!K16,(Datos!L16+Datos!AF16)/(Datos!K16+Datos!AE16)))*11)/factor_trimestre," - ")</f>
        <v>3.0379635449402893</v>
      </c>
      <c r="BI16" s="243">
        <f>IF(ISNUMBER('Resol  Asuntos'!D16/NºAsuntos!G16),'Resol  Asuntos'!D16/NºAsuntos!G16," - ")</f>
        <v>8.2338152105593962E-2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457</v>
      </c>
      <c r="AC17" s="226">
        <f>IF(ISNUMBER(Datos!Q17),Datos!Q17," - ")</f>
        <v>6</v>
      </c>
      <c r="AD17" s="334"/>
      <c r="AE17" s="484"/>
      <c r="AF17" s="332">
        <f>IF(ISNUMBER(Datos!L17),Datos!L17,"-")</f>
        <v>71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103</v>
      </c>
      <c r="BD17" s="229">
        <f>IF(ISNUMBER(Datos!N17),Datos!N17," - ")</f>
        <v>330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0.99347826086956526</v>
      </c>
      <c r="BH17" s="260">
        <f>IF(ISNUMBER(((IF(D_I="SI",Datos!L17/Datos!K17,(Datos!L17+Datos!AF17)/(Datos!K17+Datos!AE17)))*11)/factor_trimestre),((IF(D_I="SI",Datos!L17/Datos!K17,(Datos!L17+Datos!AF17)/(Datos!K17+Datos!AE17)))*11)/factor_trimestre," - ")</f>
        <v>1.7089715536105035</v>
      </c>
      <c r="BI17" s="243">
        <f>IF(ISNUMBER('Resol  Asuntos'!D17/NºAsuntos!G17),'Resol  Asuntos'!D17/NºAsuntos!G17," - ")</f>
        <v>0.22538293216630198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2163</v>
      </c>
      <c r="G18" s="898">
        <f>SUBTOTAL(9,G15:G17)</f>
        <v>2409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8412</v>
      </c>
      <c r="AC18" s="899">
        <f t="shared" si="4"/>
        <v>76</v>
      </c>
      <c r="AD18" s="899">
        <f t="shared" si="4"/>
        <v>0</v>
      </c>
      <c r="AE18" s="899">
        <f t="shared" si="4"/>
        <v>0</v>
      </c>
      <c r="AF18" s="899">
        <f t="shared" si="4"/>
        <v>2268</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758</v>
      </c>
      <c r="BD18" s="899">
        <f t="shared" si="4"/>
        <v>6499</v>
      </c>
      <c r="BE18" s="899">
        <f t="shared" si="4"/>
        <v>0</v>
      </c>
      <c r="BF18" s="899">
        <f t="shared" si="4"/>
        <v>0</v>
      </c>
      <c r="BG18" s="899">
        <f>IF(ISNUMBER(Datos!K18/Datos!J18),Datos!K18/Datos!J18," - ")</f>
        <v>0.99562078352467742</v>
      </c>
      <c r="BH18" s="903">
        <f>IF(ISNUMBER(((Datos!L18/Datos!K18)*11)/factor_trimestre),((Datos!L18/Datos!K18)*11)/factor_trimestre," - ")</f>
        <v>2.9657631954350925</v>
      </c>
      <c r="BI18" s="899">
        <f>SUBTOTAL(9,BI15:BI17)</f>
        <v>0.30772108427189593</v>
      </c>
      <c r="BJ18" s="899">
        <f>SUBTOTAL(9,BJ15:BJ17)</f>
        <v>0</v>
      </c>
      <c r="BK18" s="899">
        <f>SUBTOTAL(9,BK15:BK17)</f>
        <v>0</v>
      </c>
      <c r="BL18" s="899">
        <f>IF(ISNUMBER((I18-AB18+L18)/(F18)),(I18-AB18+L18)/(F18)," - ")</f>
        <v>-3.8890429958391124</v>
      </c>
      <c r="BM18" s="905">
        <f>IF(ISNUMBER((Datos!P18-Datos!Q18)/(Datos!R18-Datos!P18+Datos!Q18)),(Datos!P18-Datos!Q18)/(Datos!R18-Datos!P18+Datos!Q18)," - ")</f>
        <v>0.24390243902439024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2170</v>
      </c>
      <c r="G19" s="820">
        <f t="shared" si="6"/>
        <v>2416</v>
      </c>
      <c r="H19" s="822">
        <f t="shared" si="6"/>
        <v>0</v>
      </c>
      <c r="I19" s="820">
        <f t="shared" si="6"/>
        <v>0</v>
      </c>
      <c r="J19" s="822">
        <f t="shared" si="6"/>
        <v>0</v>
      </c>
      <c r="K19" s="822">
        <f t="shared" si="6"/>
        <v>0</v>
      </c>
      <c r="L19" s="881">
        <f t="shared" si="6"/>
        <v>0</v>
      </c>
      <c r="M19" s="881">
        <f t="shared" si="6"/>
        <v>0</v>
      </c>
      <c r="N19" s="881">
        <f t="shared" si="6"/>
        <v>367</v>
      </c>
      <c r="O19" s="881">
        <f t="shared" si="6"/>
        <v>0</v>
      </c>
      <c r="P19" s="881">
        <f t="shared" si="6"/>
        <v>0</v>
      </c>
      <c r="Q19" s="822">
        <f t="shared" si="6"/>
        <v>863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8429</v>
      </c>
      <c r="AC19" s="821">
        <f t="shared" si="7"/>
        <v>2051</v>
      </c>
      <c r="AD19" s="821">
        <f t="shared" si="7"/>
        <v>0</v>
      </c>
      <c r="AE19" s="821">
        <f t="shared" si="7"/>
        <v>0</v>
      </c>
      <c r="AF19" s="828">
        <f t="shared" si="7"/>
        <v>2274</v>
      </c>
      <c r="AG19" s="828">
        <f t="shared" si="7"/>
        <v>0</v>
      </c>
      <c r="AH19" s="828">
        <f t="shared" si="7"/>
        <v>83</v>
      </c>
      <c r="AI19" s="828">
        <f t="shared" si="7"/>
        <v>0</v>
      </c>
      <c r="AJ19" s="821">
        <f t="shared" si="7"/>
        <v>0</v>
      </c>
      <c r="AK19" s="828">
        <f t="shared" si="7"/>
        <v>0</v>
      </c>
      <c r="AL19" s="828">
        <f t="shared" si="7"/>
        <v>0</v>
      </c>
      <c r="AM19" s="828">
        <f t="shared" si="7"/>
        <v>4391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1934</v>
      </c>
      <c r="BD19" s="820">
        <f t="shared" si="7"/>
        <v>7674</v>
      </c>
      <c r="BE19" s="820">
        <f t="shared" si="7"/>
        <v>0</v>
      </c>
      <c r="BF19" s="830">
        <f t="shared" si="7"/>
        <v>0</v>
      </c>
      <c r="BG19" s="915">
        <f>IF(ISNUMBER(Datos!K19/Datos!J19),Datos!K19/Datos!J19," - ")</f>
        <v>0.90238966295633227</v>
      </c>
      <c r="BH19" s="915">
        <f>IF(ISNUMBER(((Datos!L19/Datos!K19)*11)/factor_trimestre),((Datos!L19/Datos!K19)*11)/factor_trimestre," - ")</f>
        <v>6.6210644354351764</v>
      </c>
      <c r="BI19" s="813">
        <f>IF(ISNUMBER(Datos!J19/Datos!I19),Datos!J19/Datos!I19," - ")</f>
        <v>2.1767197560149101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-3.8843317972350229</v>
      </c>
      <c r="BM19" s="889">
        <f>IF(ISNUMBER((Datos!P19-Datos!Q19+R19)/(Datos!R19-Datos!P19+Datos!Q19-R19)),(Datos!P19-Datos!Q19+R19)/(Datos!R19-Datos!P19+Datos!Q19-R19)," - ")</f>
        <v>-0.21294138734540241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1244.7671803728331</v>
      </c>
      <c r="G21" s="552">
        <f>IF(ISNUMBER(STDEV(G8:G18)),STDEV(G8:G18),"-")</f>
        <v>1286.3358037464402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4399.282987033228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500.34974434555943</v>
      </c>
      <c r="BD21" s="551"/>
      <c r="BE21" s="551">
        <f>IF(ISNUMBER(STDEV(BE8:BE18)),STDEV(BE8:BE18),"-")</f>
        <v>0</v>
      </c>
      <c r="BF21" s="556">
        <f>IF(ISNUMBER(STDEV(BF8:BF18)),STDEV(BF8:BF18),"-")</f>
        <v>0</v>
      </c>
      <c r="BG21" s="775">
        <f>IF(ISNUMBER(STDEV(BG8:BG18)),STDEV(BG8:BG18),"-")</f>
        <v>0.14669003319003623</v>
      </c>
      <c r="BH21" s="776">
        <f>IF(ISNUMBER(STDEV(BH8:BH18)),STDEV(BH8:BH18),"-")</f>
        <v>6.6178018537669541</v>
      </c>
      <c r="BI21" s="249">
        <f>IF(ISNUMBER(STDEV(BI8:BI18)),STDEV(BI8:BI18),"-")</f>
        <v>0.11272439731155658</v>
      </c>
      <c r="BJ21" s="230" t="str">
        <f>IF(ISNUMBER(BL21/BM21),BL21/BM21," - ")</f>
        <v xml:space="preserve"> - </v>
      </c>
      <c r="BK21" s="575"/>
      <c r="BL21" s="559">
        <f>IF(ISNUMBER(STDEV(BL8:BL18)),STDEV(BL8:BL18),"-")</f>
        <v>1.0327093489451231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rK6Rf2rDlU4OoDgRmW6wRv23pL2qQd2Z066rogS3hEjNKIoOhk1kD0SiWoQWlOb9vkMkJmIGgsgHwoRLCt6mg==" saltValue="r4nP3DSant22ch6fxdlZ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VELEZ-MALAGA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3.882352941176471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1975</v>
      </c>
      <c r="AA12" s="332" t="str">
        <f>IF(ISNUMBER(IF(J_V="SI",Datos!L12,Datos!L12+Datos!AB12)-IF(Monitorios="SI",Datos!CD12,0)),
                          IF(J_V="SI",Datos!L12,Datos!L12+Datos!AB12)-IF(Monitorios="SI",Datos!CD12,0),
                          " - ")</f>
        <v xml:space="preserve"> - </v>
      </c>
      <c r="AB12" s="334"/>
      <c r="AC12" s="334"/>
      <c r="AD12" s="484"/>
      <c r="AE12" s="484">
        <f>IF(ISNUMBER(Datos!R12),Datos!R12," - ")</f>
        <v>4289</v>
      </c>
      <c r="AF12" s="229" t="str">
        <f>IF(ISNUMBER(Datos!BV12),Datos!BV12," - ")</f>
        <v xml:space="preserve"> - </v>
      </c>
      <c r="AG12" s="225" t="str">
        <f>IF(ISNUMBER(Datos!DV12),Datos!DV12," - ")</f>
        <v xml:space="preserve"> - </v>
      </c>
      <c r="AH12" s="298"/>
      <c r="AI12" s="227"/>
      <c r="AJ12" s="225">
        <f>IF(ISNUMBER(Datos!M12),Datos!M12," - ")</f>
        <v>1161</v>
      </c>
      <c r="AK12" s="229">
        <f>IF(ISNUMBER(Datos!N12),Datos!N12," - ")</f>
        <v>1174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14.946636389440819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-0.21975623067127525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767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1975</v>
      </c>
      <c r="AA13" s="900">
        <f t="shared" si="2"/>
        <v>6</v>
      </c>
      <c r="AB13" s="900">
        <f t="shared" si="2"/>
        <v>0</v>
      </c>
      <c r="AC13" s="900">
        <f t="shared" si="2"/>
        <v>0</v>
      </c>
      <c r="AD13" s="900">
        <f t="shared" si="2"/>
        <v>0</v>
      </c>
      <c r="AE13" s="900">
        <f t="shared" si="2"/>
        <v>4289</v>
      </c>
      <c r="AF13" s="908">
        <f t="shared" si="2"/>
        <v>0</v>
      </c>
      <c r="AG13" s="908">
        <f t="shared" si="2"/>
        <v>0</v>
      </c>
      <c r="AH13" s="908">
        <f t="shared" si="2"/>
        <v>0</v>
      </c>
      <c r="AI13" s="908">
        <f t="shared" si="2"/>
        <v>0</v>
      </c>
      <c r="AJ13" s="908">
        <f t="shared" si="2"/>
        <v>1176</v>
      </c>
      <c r="AK13" s="908">
        <f t="shared" si="2"/>
        <v>1175</v>
      </c>
      <c r="AL13" s="908">
        <f t="shared" si="2"/>
        <v>0</v>
      </c>
      <c r="AM13" s="908">
        <f t="shared" si="2"/>
        <v>0</v>
      </c>
      <c r="AN13" s="908">
        <f t="shared" si="2"/>
        <v>0</v>
      </c>
      <c r="AO13" s="904">
        <f>IF(ISNUMBER(((NºAsuntos!I13/NºAsuntos!G13)*11)/factor_trimestre),((NºAsuntos!I13/NºAsuntos!G13)*11)/factor_trimestre," - ")</f>
        <v>14.893502824858757</v>
      </c>
      <c r="AP13" s="910" t="str">
        <f>IF(ISNUMBER(Datos!CI13/Datos!CJ13),Datos!CI13/Datos!CJ13," - ")</f>
        <v xml:space="preserve"> - </v>
      </c>
      <c r="AQ13" s="928">
        <f t="shared" ref="AQ13:AV13" si="3">SUBTOTAL(9,AQ9:AQ12)</f>
        <v>0</v>
      </c>
      <c r="AR13" s="928">
        <f t="shared" si="3"/>
        <v>-0.21975623067127525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2163</v>
      </c>
      <c r="G16" s="225">
        <f>IF(ISNUMBER(IF(D_I="SI",Datos!I16,Datos!I16+Datos!AC16)),IF(D_I="SI",Datos!I16,Datos!I16+Datos!AC16)," - ")</f>
        <v>2341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7955</v>
      </c>
      <c r="Z16" s="619">
        <f>IF(ISNUMBER(Datos!Q16),Datos!Q16," - ")</f>
        <v>70</v>
      </c>
      <c r="AA16" s="332">
        <f>IF(ISNUMBER(IF(D_I="SI",Datos!L16,Datos!L16+Datos!AF16)),IF(D_I="SI",Datos!L16,Datos!L16+Datos!AF16)," - ")</f>
        <v>2197</v>
      </c>
      <c r="AB16" s="334"/>
      <c r="AC16" s="334"/>
      <c r="AD16" s="484"/>
      <c r="AE16" s="484">
        <f>IF(ISNUMBER(Datos!R16),Datos!R16," - ")</f>
        <v>98</v>
      </c>
      <c r="AF16" s="229" t="str">
        <f>IF(ISNUMBER(Datos!BV16),Datos!BV16," - ")</f>
        <v xml:space="preserve"> - </v>
      </c>
      <c r="AG16" s="225"/>
      <c r="AH16" s="298"/>
      <c r="AI16" s="227"/>
      <c r="AJ16" s="225">
        <f>IF(ISNUMBER(Datos!M16),Datos!M16," - ")</f>
        <v>655</v>
      </c>
      <c r="AK16" s="229">
        <f>IF(ISNUMBER(Datos!N16),Datos!N16," - ")</f>
        <v>6169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3.0379635449402893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457</v>
      </c>
      <c r="Z17" s="619">
        <f>IF(ISNUMBER(Datos!Q17),Datos!Q17," - ")</f>
        <v>6</v>
      </c>
      <c r="AA17" s="332">
        <f>IF(ISNUMBER(Datos!L17),Datos!L17,"-")</f>
        <v>71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103</v>
      </c>
      <c r="AK17" s="229">
        <f>IF(ISNUMBER(Datos!N17),Datos!N17," - ")</f>
        <v>330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1.7089715536105035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2163</v>
      </c>
      <c r="G18" s="898">
        <f>SUBTOTAL(9,G15:G17)</f>
        <v>2409</v>
      </c>
      <c r="H18" s="932">
        <f>SUBTOTAL(9,H15:H17)</f>
        <v>0</v>
      </c>
      <c r="I18" s="911">
        <f>SUBTOTAL(9,I15:I17)</f>
        <v>0</v>
      </c>
      <c r="J18" s="867">
        <f>SUBTOTAL(9,J14:J17)</f>
        <v>0</v>
      </c>
      <c r="K18" s="932">
        <f t="shared" ref="K18:S18" si="4">SUBTOTAL(9,K15:K17)</f>
        <v>0</v>
      </c>
      <c r="L18" s="932">
        <f t="shared" si="4"/>
        <v>0</v>
      </c>
      <c r="M18" s="932">
        <f t="shared" si="4"/>
        <v>0</v>
      </c>
      <c r="N18" s="932">
        <f t="shared" si="4"/>
        <v>96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8412</v>
      </c>
      <c r="Z18" s="932">
        <f t="shared" si="5"/>
        <v>76</v>
      </c>
      <c r="AA18" s="932">
        <f t="shared" si="5"/>
        <v>2268</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758</v>
      </c>
      <c r="AK18" s="932">
        <f t="shared" si="5"/>
        <v>6499</v>
      </c>
      <c r="AL18" s="932">
        <f t="shared" si="5"/>
        <v>0</v>
      </c>
      <c r="AM18" s="932">
        <f t="shared" si="5"/>
        <v>0</v>
      </c>
      <c r="AN18" s="932">
        <f t="shared" si="5"/>
        <v>0</v>
      </c>
      <c r="AO18" s="934">
        <f>IF(ISNUMBER(((NºAsuntos!I18/NºAsuntos!G18)*11)/factor_trimestre),((NºAsuntos!I18/NºAsuntos!G18)*11)/factor_trimestre," - ")</f>
        <v>2.9657631954350925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2170</v>
      </c>
      <c r="G19" s="820">
        <f t="shared" si="7"/>
        <v>2416</v>
      </c>
      <c r="H19" s="821">
        <f t="shared" si="7"/>
        <v>0</v>
      </c>
      <c r="I19" s="820">
        <f t="shared" si="7"/>
        <v>0</v>
      </c>
      <c r="J19" s="822">
        <f t="shared" si="7"/>
        <v>0</v>
      </c>
      <c r="K19" s="820">
        <f t="shared" si="7"/>
        <v>0</v>
      </c>
      <c r="L19" s="823">
        <f t="shared" si="7"/>
        <v>0</v>
      </c>
      <c r="M19" s="820">
        <f t="shared" si="7"/>
        <v>0</v>
      </c>
      <c r="N19" s="821">
        <f t="shared" si="7"/>
        <v>863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8429</v>
      </c>
      <c r="Z19" s="827">
        <f t="shared" si="8"/>
        <v>2051</v>
      </c>
      <c r="AA19" s="828">
        <f t="shared" si="8"/>
        <v>2274</v>
      </c>
      <c r="AB19" s="828">
        <f t="shared" si="8"/>
        <v>0</v>
      </c>
      <c r="AC19" s="828">
        <f t="shared" si="8"/>
        <v>0</v>
      </c>
      <c r="AD19" s="829">
        <f t="shared" si="8"/>
        <v>0</v>
      </c>
      <c r="AE19" s="829">
        <f t="shared" si="8"/>
        <v>4391</v>
      </c>
      <c r="AF19" s="830">
        <f t="shared" si="8"/>
        <v>0</v>
      </c>
      <c r="AG19" s="831">
        <f t="shared" si="8"/>
        <v>0</v>
      </c>
      <c r="AH19" s="832">
        <f t="shared" si="8"/>
        <v>0</v>
      </c>
      <c r="AI19" s="830">
        <f t="shared" si="8"/>
        <v>0</v>
      </c>
      <c r="AJ19" s="820">
        <f t="shared" si="8"/>
        <v>1934</v>
      </c>
      <c r="AK19" s="820">
        <f t="shared" si="8"/>
        <v>7674</v>
      </c>
      <c r="AL19" s="820">
        <f t="shared" si="8"/>
        <v>0</v>
      </c>
      <c r="AM19" s="833">
        <f t="shared" si="8"/>
        <v>0</v>
      </c>
      <c r="AN19" s="823">
        <f>IF(ISNUMBER(Datos!K19/Datos!J19),Datos!K19/Datos!J19," - ")</f>
        <v>0.90238966295633227</v>
      </c>
      <c r="AO19" s="823">
        <f>IF(ISNUMBER(FIND("06",Criterios!A8,1)),(IF(ISNUMBER(((Datos!R19/Datos!Q19)*11)/factor_trimestre),((Datos!R19/Datos!Q19)*11)/factor_trimestre," - ")),(IF(ISNUMBER(((Datos!L19/Datos!K19)*11)/factor_trimestre),((Datos!L19/Datos!K19)*11)/factor_trimestre," - ")))</f>
        <v>6.6210644354351764</v>
      </c>
      <c r="AP19" s="834" t="str">
        <f>IF(ISNUMBER(Datos!CI19/Datos!CJ19),Datos!CI19/Datos!CJ19," - ")</f>
        <v xml:space="preserve"> - </v>
      </c>
      <c r="AQ19" s="834">
        <f>IF(OR(ISNUMBER(FIND("01",Criterios!A8,1)),ISNUMBER(FIND("02",Criterios!A8,1)),ISNUMBER(FIND("03",Criterios!A8,1)),ISNUMBER(FIND("04",Criterios!A8,1))),(J19-Y19+K19)/(F19-K19),(I19-Y19+K19)/(F19-K19))</f>
        <v>-3.8843317972350229</v>
      </c>
      <c r="AR19" s="834">
        <f>IF(ISNUMBER((Datos!P19-Datos!Q19+O19)/(Datos!R19-Datos!P19+Datos!Q19-O19)),(Datos!P19-Datos!Q19+O19)/(Datos!R19-Datos!P19+Datos!Q19-O19)," - ")</f>
        <v>-0.21294138734540241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1244.7671803728331</v>
      </c>
      <c r="G21" s="552">
        <f>IF(ISNUMBER(STDEV(G8:G18)),STDEV(G8:G18),"-")</f>
        <v>1286.3358037464402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500.34974434555943</v>
      </c>
      <c r="AK21" s="252"/>
      <c r="AL21" s="252">
        <f>IF(ISNUMBER(STDEV(AL8:AL18)),STDEV(AL8:AL18),"-")</f>
        <v>0</v>
      </c>
      <c r="AM21" s="254">
        <f>IF(ISNUMBER(STDEV(AM8:AM18)),STDEV(AM8:AM18),"-")</f>
        <v>0</v>
      </c>
      <c r="AN21" s="539">
        <f>IF(ISNUMBER(STDEV(AN8:AN18)),STDEV(AN8:AN18),"-")</f>
        <v>0</v>
      </c>
      <c r="AO21" s="540">
        <f>IF(ISNUMBER(STDEV(AO8:AO18)),STDEV(AO8:AO18),"-")</f>
        <v>6.246451042275611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dAbzHWJSNt4UH0vyqcVOLia5CD9V5oqrCtuLj8tdA0c2AC+V3+zRejeSzwrz6YLm8Tlu0S2zdPFXGxgOu5W4NQ==" saltValue="KVSW2+m2fEFroQ3h8wdc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IRmTUid7u/Q1bZnkZAx6ks6dUwsqCbdlQ1ghUpjFOxrPnfNNbWfPcasDdsXeEo4qYBelPF0ZrsAF9AjBuLC+A==" saltValue="VTdLOQJw7e5d/+1dreJP8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MWva2NS1VxOnDWe1i/BM2q/lyrG6U3859bnWU11zn4VHT8Lq8LXFDjsJCkCmqEpDspSr+u2BHFgbwDn0iL4SQ==" saltValue="KYrd9aFFi4I7nXL46FsQ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VELEZ-MALAGA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0.33220338983050846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0.23490326968231071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6ZqDwr91Iy+ry2HJnH4oEPKMCmWZPNMtzBTNyohv5lBo6tnuBnOtMzAuw/IgXAQVzKbdlXJA6ktzaI0RK7Ohig==" saltValue="GL7m4QlZF8dqeQZKN/i1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gN8hR6IrEhMFHmZhiBEVzGqFJyx+QNr/AVmJLSXsybjdvGSfG1Vmf91oKBQw/t7qpIvIwZVOb9KVxNQKEhPRA==" saltValue="MLHMSUOgEldOGOF//Knp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VELEZ-MALAGA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3.882352941176471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1161</v>
      </c>
      <c r="AM12" s="690">
        <f>IF(ISNUMBER(Datos!N12+DatosP!N16),Datos!N12+DatosP!N16," - ")</f>
        <v>1174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14.946636389440819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-0.21975623067127525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767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1975</v>
      </c>
      <c r="AE13" s="939">
        <f t="shared" si="1"/>
        <v>0</v>
      </c>
      <c r="AF13" s="939">
        <f t="shared" si="1"/>
        <v>6</v>
      </c>
      <c r="AG13" s="939">
        <f t="shared" si="1"/>
        <v>0</v>
      </c>
      <c r="AH13" s="939">
        <f t="shared" si="1"/>
        <v>4289</v>
      </c>
      <c r="AI13" s="939">
        <f t="shared" si="1"/>
        <v>0</v>
      </c>
      <c r="AJ13" s="939">
        <f t="shared" si="1"/>
        <v>0</v>
      </c>
      <c r="AK13" s="939">
        <f t="shared" si="1"/>
        <v>0</v>
      </c>
      <c r="AL13" s="939">
        <f t="shared" si="1"/>
        <v>1176</v>
      </c>
      <c r="AM13" s="939">
        <f t="shared" si="1"/>
        <v>1175</v>
      </c>
      <c r="AN13" s="939">
        <f t="shared" si="1"/>
        <v>0</v>
      </c>
      <c r="AO13" s="939">
        <f t="shared" si="1"/>
        <v>0</v>
      </c>
      <c r="AP13" s="944">
        <f>IF(ISNUMBER(((Datos!L13/Datos!K13)*11)/factor_trimestre),((Datos!L13/Datos!K13)*11)/factor_trimestre," - ")</f>
        <v>16.287331027978624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-2.4285714285714284</v>
      </c>
      <c r="AU13" s="939" t="str">
        <f>IF(ISNUMBER((DatosP!#REF!-DatosP!#REF!+DatosP!#REF!)/(DatosP!#REF!+DatosP!#REF!-DatosP!#REF!-DatosP!#REF!)),(DatosP!#REF!-DatosP!#REF!+DatosP!#REF!)/(DatosP!#REF!+DatosP!#REF!-DatosP!#REF!-DatosP!#REF!)," - ")</f>
        <v xml:space="preserve"> - </v>
      </c>
      <c r="AV13" s="945">
        <f>SUBTOTAL(9,AV9:AV12)</f>
        <v>-0.21975623067127525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2.9657631954350925</v>
      </c>
      <c r="AQ18" s="944">
        <f>IF(ISNUMBER(((Datos!M18/Datos!L18)*11)/factor_trimestre),((Datos!M18/Datos!L18)*11)/factor_trimestre," - ")</f>
        <v>3.6763668430335099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0.24390243902439024</v>
      </c>
      <c r="AW18" s="946">
        <f>IF(ISNUMBER((Datos!Q18-Datos!R18)/(Datos!S18-Datos!Q18+Datos!R18)),(Datos!Q18-Datos!R18)/(Datos!S18-Datos!Q18+Datos!R18)," - ")</f>
        <v>-1.4772727272727272E-2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767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1975</v>
      </c>
      <c r="AE19" s="957">
        <f t="shared" si="5"/>
        <v>0</v>
      </c>
      <c r="AF19" s="958">
        <f t="shared" si="5"/>
        <v>6</v>
      </c>
      <c r="AG19" s="958">
        <f t="shared" si="5"/>
        <v>0</v>
      </c>
      <c r="AH19" s="958">
        <f t="shared" si="5"/>
        <v>4289</v>
      </c>
      <c r="AI19" s="958">
        <f t="shared" si="5"/>
        <v>0</v>
      </c>
      <c r="AJ19" s="959">
        <f t="shared" si="5"/>
        <v>0</v>
      </c>
      <c r="AK19" s="959">
        <f t="shared" si="5"/>
        <v>0</v>
      </c>
      <c r="AL19" s="951">
        <f t="shared" si="5"/>
        <v>1176</v>
      </c>
      <c r="AM19" s="951">
        <f t="shared" si="5"/>
        <v>1175</v>
      </c>
      <c r="AN19" s="951">
        <f t="shared" si="5"/>
        <v>0</v>
      </c>
      <c r="AO19" s="951">
        <f t="shared" si="5"/>
        <v>0</v>
      </c>
      <c r="AP19" s="951">
        <f>IF(ISNUMBER(((Datos!L19/Datos!K19)*11)/factor_trimestre),((Datos!L19/Datos!K19)*11)/factor_trimestre," - ")</f>
        <v>6.6210644354351764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-2.4285714285714284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-0.21294138734540241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670.35960498824807</v>
      </c>
      <c r="AM21" s="736"/>
      <c r="AN21" s="736">
        <f>IF(ISNUMBER(STDEV(AN8:AN18)),STDEV(AN8:AN18),"-")</f>
        <v>0</v>
      </c>
      <c r="AO21" s="742">
        <f>IF(ISNUMBER(STDEV(AO8:AO18)),STDEV(AO8:AO18),"-")</f>
        <v>0</v>
      </c>
      <c r="AP21" s="779">
        <f>IF(ISNUMBER(STDEV(AP8:AP18)),STDEV(AP8:AP18),"-")</f>
        <v>7.0707433628608163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2oW9lNn2eVljQz7fTisYjaAAFiC/EN7YCiPHiPkPLCzaGl5m1C61CFCK3oXUA5d9IJ7/uUi2ce35YR1zytiHhw==" saltValue="xxkIFkmqzuc5Fd5/34yI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